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ropbox\REACH_COL\2_Research_Management\2018-9_44 DXN_44ALR _ECHO\CASH_Coordination\Canasta\"/>
    </mc:Choice>
  </mc:AlternateContent>
  <xr:revisionPtr revIDLastSave="0" documentId="13_ncr:1_{8CD0BBC4-E60B-429D-8E3C-CDB2B1DB5E85}" xr6:coauthVersionLast="47" xr6:coauthVersionMax="47" xr10:uidLastSave="{00000000-0000-0000-0000-000000000000}"/>
  <bookViews>
    <workbookView xWindow="28680" yWindow="-120" windowWidth="29040" windowHeight="15840" firstSheet="2" activeTab="9" xr2:uid="{14C92810-D769-4506-BFDB-0B8DD79ACF0B}"/>
  </bookViews>
  <sheets>
    <sheet name="SA" sheetId="1" r:id="rId1"/>
    <sheet name="Nutrición " sheetId="10" r:id="rId2"/>
    <sheet name="Alojamiento" sheetId="2" r:id="rId3"/>
    <sheet name="Wash" sheetId="3" r:id="rId4"/>
    <sheet name="Educación " sheetId="11" r:id="rId5"/>
    <sheet name="Protección" sheetId="6" r:id="rId6"/>
    <sheet name="Salud" sheetId="5" r:id="rId7"/>
    <sheet name="Integración" sheetId="7" r:id="rId8"/>
    <sheet name="Calculo canasta" sheetId="8" r:id="rId9"/>
    <sheet name="Monto" sheetId="12" r:id="rId10"/>
    <sheet name="Otros cálculos" sheetId="9" r:id="rId11"/>
  </sheets>
  <externalReferences>
    <externalReference r:id="rId1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2" l="1"/>
  <c r="B30" i="9"/>
  <c r="C30" i="9"/>
  <c r="D30" i="9"/>
  <c r="E30" i="9"/>
  <c r="F30" i="9"/>
  <c r="F33" i="12"/>
  <c r="E33" i="12"/>
  <c r="D33" i="12"/>
  <c r="C33" i="12"/>
  <c r="B33" i="12"/>
  <c r="B3" i="9"/>
  <c r="C3" i="9"/>
  <c r="D3" i="9"/>
  <c r="E3" i="9"/>
  <c r="F3" i="9"/>
  <c r="B4" i="9"/>
  <c r="C4" i="9"/>
  <c r="D4" i="9"/>
  <c r="E4" i="9"/>
  <c r="F4" i="9"/>
  <c r="B5" i="9"/>
  <c r="C5" i="9"/>
  <c r="D5" i="9"/>
  <c r="E5" i="9"/>
  <c r="F5" i="9"/>
  <c r="C6" i="9"/>
  <c r="D6" i="9"/>
  <c r="E6" i="9"/>
  <c r="F6" i="9"/>
  <c r="B7" i="9"/>
  <c r="C7" i="9"/>
  <c r="D7" i="9"/>
  <c r="E7" i="9"/>
  <c r="F7" i="9"/>
  <c r="B8" i="9"/>
  <c r="C8" i="9"/>
  <c r="D8" i="9"/>
  <c r="E8" i="9"/>
  <c r="F8" i="9"/>
  <c r="B9" i="9"/>
  <c r="C9" i="9"/>
  <c r="D9" i="9"/>
  <c r="E9" i="9"/>
  <c r="F9" i="9"/>
  <c r="F9" i="12"/>
  <c r="E9" i="12"/>
  <c r="D9" i="12"/>
  <c r="C9" i="12"/>
  <c r="B9" i="12"/>
  <c r="F8" i="12"/>
  <c r="E8" i="12"/>
  <c r="D8" i="12"/>
  <c r="C8" i="12"/>
  <c r="B8" i="12"/>
  <c r="F7" i="12"/>
  <c r="E7" i="12"/>
  <c r="D7" i="12"/>
  <c r="C7" i="12"/>
  <c r="B7" i="12"/>
  <c r="F6" i="12"/>
  <c r="E6" i="12"/>
  <c r="D6" i="12"/>
  <c r="C6" i="12"/>
  <c r="F5" i="12"/>
  <c r="E5" i="12"/>
  <c r="D5" i="12"/>
  <c r="C5" i="12"/>
  <c r="B5" i="12"/>
  <c r="F4" i="12"/>
  <c r="E4" i="12"/>
  <c r="D4" i="12"/>
  <c r="C4" i="12"/>
  <c r="B4" i="12"/>
  <c r="F3" i="12"/>
  <c r="E3" i="12"/>
  <c r="D3" i="12"/>
  <c r="C3" i="12"/>
  <c r="B3" i="12"/>
  <c r="C6" i="8"/>
  <c r="E6" i="8"/>
  <c r="I25" i="3"/>
  <c r="H24" i="3"/>
  <c r="G24" i="3"/>
  <c r="E2" i="6"/>
  <c r="H2" i="6"/>
  <c r="B10" i="12" l="1"/>
  <c r="B12" i="12" s="1"/>
  <c r="C10" i="12"/>
  <c r="F10" i="12"/>
  <c r="F12" i="12" s="1"/>
  <c r="D10" i="12"/>
  <c r="E10" i="12"/>
  <c r="J3" i="5"/>
  <c r="I3" i="5"/>
  <c r="H3" i="5"/>
  <c r="G3" i="5"/>
  <c r="F3" i="5"/>
  <c r="B4" i="6"/>
  <c r="E4" i="6" s="1"/>
  <c r="I32" i="3"/>
  <c r="H32" i="3"/>
  <c r="G32" i="3"/>
  <c r="F32" i="3"/>
  <c r="E32" i="3"/>
  <c r="E23" i="3"/>
  <c r="H23" i="3" s="1"/>
  <c r="D23" i="3"/>
  <c r="G23" i="3" s="1"/>
  <c r="I21" i="3"/>
  <c r="H21" i="3"/>
  <c r="G21" i="3"/>
  <c r="B23" i="12" l="1"/>
  <c r="B34" i="9" s="1"/>
  <c r="B22" i="12"/>
  <c r="C12" i="12"/>
  <c r="C22" i="12" s="1"/>
  <c r="E12" i="12"/>
  <c r="E22" i="12" s="1"/>
  <c r="D12" i="12"/>
  <c r="F21" i="12"/>
  <c r="F32" i="9" s="1"/>
  <c r="F23" i="12"/>
  <c r="F34" i="9" s="1"/>
  <c r="F20" i="12"/>
  <c r="F31" i="9" s="1"/>
  <c r="B20" i="12"/>
  <c r="B31" i="9" s="1"/>
  <c r="B21" i="12"/>
  <c r="B32" i="9" s="1"/>
  <c r="F23" i="3"/>
  <c r="I23" i="3"/>
  <c r="D4" i="6"/>
  <c r="J10" i="5"/>
  <c r="G29" i="3"/>
  <c r="I29" i="3" s="1"/>
  <c r="F29" i="3"/>
  <c r="H29" i="3" s="1"/>
  <c r="F6" i="8"/>
  <c r="F9" i="8"/>
  <c r="F3" i="8"/>
  <c r="H4" i="6"/>
  <c r="H3" i="6"/>
  <c r="J9" i="5"/>
  <c r="J8" i="5"/>
  <c r="J7" i="5"/>
  <c r="J6" i="5"/>
  <c r="J2" i="5"/>
  <c r="G2" i="5"/>
  <c r="J5" i="5"/>
  <c r="J4" i="5"/>
  <c r="H65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49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26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3" i="11"/>
  <c r="I22" i="3"/>
  <c r="I20" i="3"/>
  <c r="I19" i="3"/>
  <c r="I18" i="3"/>
  <c r="I17" i="3"/>
  <c r="I16" i="3"/>
  <c r="I15" i="3"/>
  <c r="I13" i="3"/>
  <c r="I12" i="3"/>
  <c r="H12" i="3"/>
  <c r="I11" i="3"/>
  <c r="H11" i="3"/>
  <c r="F11" i="3"/>
  <c r="I10" i="3"/>
  <c r="I9" i="3"/>
  <c r="I8" i="3"/>
  <c r="G8" i="3"/>
  <c r="F8" i="3"/>
  <c r="E8" i="3"/>
  <c r="I7" i="2"/>
  <c r="I8" i="2"/>
  <c r="I9" i="2"/>
  <c r="I6" i="2"/>
  <c r="I10" i="2"/>
  <c r="F4" i="8" s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" i="1"/>
  <c r="D6" i="8"/>
  <c r="B2" i="7"/>
  <c r="D9" i="8"/>
  <c r="C9" i="8"/>
  <c r="B9" i="8"/>
  <c r="E28" i="12" l="1"/>
  <c r="E33" i="9"/>
  <c r="C28" i="12"/>
  <c r="C33" i="9"/>
  <c r="B28" i="12"/>
  <c r="B33" i="9"/>
  <c r="D21" i="12"/>
  <c r="D32" i="9" s="1"/>
  <c r="D22" i="12"/>
  <c r="C23" i="12"/>
  <c r="C34" i="9" s="1"/>
  <c r="F27" i="12"/>
  <c r="B27" i="12"/>
  <c r="F26" i="12"/>
  <c r="F29" i="12"/>
  <c r="B26" i="12"/>
  <c r="B29" i="12"/>
  <c r="E20" i="12"/>
  <c r="E31" i="9" s="1"/>
  <c r="E23" i="12"/>
  <c r="E34" i="9" s="1"/>
  <c r="E21" i="12"/>
  <c r="E32" i="9" s="1"/>
  <c r="D23" i="12"/>
  <c r="D34" i="9" s="1"/>
  <c r="C20" i="12"/>
  <c r="C31" i="9" s="1"/>
  <c r="D20" i="12"/>
  <c r="D31" i="9" s="1"/>
  <c r="C21" i="12"/>
  <c r="C32" i="9" s="1"/>
  <c r="H5" i="6"/>
  <c r="J11" i="5"/>
  <c r="H63" i="11"/>
  <c r="H45" i="11"/>
  <c r="H22" i="11"/>
  <c r="I36" i="3"/>
  <c r="K20" i="1"/>
  <c r="H9" i="3"/>
  <c r="G9" i="3"/>
  <c r="F9" i="3"/>
  <c r="E9" i="3"/>
  <c r="I2" i="1"/>
  <c r="D28" i="12" l="1"/>
  <c r="D33" i="9"/>
  <c r="D27" i="12"/>
  <c r="C29" i="12"/>
  <c r="C27" i="12"/>
  <c r="E29" i="12"/>
  <c r="E27" i="12"/>
  <c r="C26" i="12"/>
  <c r="D29" i="12"/>
  <c r="E26" i="12"/>
  <c r="F7" i="8"/>
  <c r="F8" i="8"/>
  <c r="F5" i="8"/>
  <c r="F28" i="3"/>
  <c r="F27" i="3"/>
  <c r="G65" i="11"/>
  <c r="F65" i="11"/>
  <c r="F10" i="8" l="1"/>
  <c r="F10" i="9"/>
  <c r="G62" i="11"/>
  <c r="F62" i="11"/>
  <c r="D61" i="11"/>
  <c r="D60" i="11"/>
  <c r="G60" i="11" s="1"/>
  <c r="D59" i="11"/>
  <c r="D58" i="11"/>
  <c r="G58" i="11" s="1"/>
  <c r="G57" i="11"/>
  <c r="F57" i="11"/>
  <c r="G56" i="11"/>
  <c r="F56" i="11"/>
  <c r="G55" i="11"/>
  <c r="F55" i="11"/>
  <c r="G54" i="11"/>
  <c r="F54" i="11"/>
  <c r="G53" i="11"/>
  <c r="F53" i="11"/>
  <c r="D52" i="11"/>
  <c r="D51" i="11"/>
  <c r="G50" i="11"/>
  <c r="F50" i="11"/>
  <c r="G49" i="11"/>
  <c r="F49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D38" i="11"/>
  <c r="D37" i="11"/>
  <c r="D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D29" i="11"/>
  <c r="G29" i="11" s="1"/>
  <c r="D28" i="11"/>
  <c r="F28" i="11" s="1"/>
  <c r="G27" i="11"/>
  <c r="F27" i="11"/>
  <c r="G26" i="11"/>
  <c r="F26" i="11"/>
  <c r="G21" i="11"/>
  <c r="F21" i="11"/>
  <c r="G20" i="11"/>
  <c r="F20" i="11"/>
  <c r="G19" i="11"/>
  <c r="F19" i="11"/>
  <c r="D18" i="11"/>
  <c r="G17" i="11"/>
  <c r="F17" i="11"/>
  <c r="G16" i="11"/>
  <c r="F16" i="11"/>
  <c r="G15" i="11"/>
  <c r="F15" i="11"/>
  <c r="G14" i="11"/>
  <c r="F14" i="11"/>
  <c r="D13" i="11"/>
  <c r="G13" i="11" s="1"/>
  <c r="G12" i="11"/>
  <c r="F12" i="11"/>
  <c r="G11" i="11"/>
  <c r="F11" i="11"/>
  <c r="G10" i="11"/>
  <c r="F10" i="11"/>
  <c r="G9" i="11"/>
  <c r="F9" i="11"/>
  <c r="G8" i="11"/>
  <c r="F8" i="11"/>
  <c r="G7" i="11"/>
  <c r="F7" i="11"/>
  <c r="D6" i="11"/>
  <c r="D5" i="11"/>
  <c r="G4" i="11"/>
  <c r="F4" i="11"/>
  <c r="G3" i="11"/>
  <c r="F3" i="11"/>
  <c r="G4" i="5"/>
  <c r="H4" i="5"/>
  <c r="I4" i="5"/>
  <c r="F4" i="5"/>
  <c r="G5" i="5"/>
  <c r="H5" i="5"/>
  <c r="I5" i="5"/>
  <c r="F5" i="5"/>
  <c r="J2" i="10"/>
  <c r="I6" i="5"/>
  <c r="H6" i="5"/>
  <c r="G6" i="5"/>
  <c r="F18" i="9" l="1"/>
  <c r="F23" i="9" s="1"/>
  <c r="F17" i="9"/>
  <c r="F22" i="9" s="1"/>
  <c r="F16" i="9"/>
  <c r="F21" i="9" s="1"/>
  <c r="F15" i="9"/>
  <c r="G61" i="11"/>
  <c r="F61" i="11"/>
  <c r="F51" i="11"/>
  <c r="G51" i="11"/>
  <c r="G59" i="11"/>
  <c r="F59" i="11"/>
  <c r="G52" i="11"/>
  <c r="F52" i="11"/>
  <c r="F58" i="11"/>
  <c r="F60" i="11"/>
  <c r="F37" i="11"/>
  <c r="G37" i="11"/>
  <c r="G36" i="11"/>
  <c r="F36" i="11"/>
  <c r="G38" i="11"/>
  <c r="F38" i="11"/>
  <c r="G28" i="11"/>
  <c r="F29" i="11"/>
  <c r="G5" i="11"/>
  <c r="F5" i="11"/>
  <c r="F6" i="11"/>
  <c r="G6" i="11"/>
  <c r="G18" i="11"/>
  <c r="F18" i="11"/>
  <c r="F13" i="11"/>
  <c r="D5" i="6"/>
  <c r="D3" i="6"/>
  <c r="I10" i="5"/>
  <c r="H10" i="5"/>
  <c r="I7" i="5"/>
  <c r="H7" i="5"/>
  <c r="G7" i="5"/>
  <c r="B3" i="8"/>
  <c r="C3" i="8"/>
  <c r="D3" i="8"/>
  <c r="E3" i="8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" i="1"/>
  <c r="H20" i="1"/>
  <c r="I2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1"/>
  <c r="G20" i="1" s="1"/>
  <c r="E9" i="8"/>
  <c r="C4" i="8"/>
  <c r="B4" i="8"/>
  <c r="F20" i="9" l="1"/>
  <c r="B8" i="8"/>
  <c r="F63" i="11"/>
  <c r="G63" i="11"/>
  <c r="F22" i="11"/>
  <c r="G22" i="11"/>
  <c r="F45" i="11"/>
  <c r="G45" i="11"/>
  <c r="H10" i="2"/>
  <c r="J20" i="1"/>
  <c r="I9" i="5"/>
  <c r="I8" i="5"/>
  <c r="H9" i="5"/>
  <c r="H8" i="5"/>
  <c r="G9" i="5"/>
  <c r="G10" i="5"/>
  <c r="G8" i="5"/>
  <c r="F8" i="5"/>
  <c r="I2" i="5"/>
  <c r="H2" i="5"/>
  <c r="F2" i="5"/>
  <c r="F11" i="5" s="1"/>
  <c r="G3" i="6"/>
  <c r="G4" i="6"/>
  <c r="G2" i="6"/>
  <c r="F4" i="6"/>
  <c r="F3" i="6"/>
  <c r="F2" i="6"/>
  <c r="E3" i="6"/>
  <c r="G26" i="3"/>
  <c r="G25" i="3"/>
  <c r="F24" i="3"/>
  <c r="G22" i="3"/>
  <c r="G15" i="3"/>
  <c r="G16" i="3"/>
  <c r="G17" i="3"/>
  <c r="G18" i="3"/>
  <c r="G19" i="3"/>
  <c r="G20" i="3"/>
  <c r="G13" i="3"/>
  <c r="G12" i="3"/>
  <c r="G11" i="3"/>
  <c r="G10" i="3"/>
  <c r="F30" i="3"/>
  <c r="F18" i="3"/>
  <c r="F19" i="3"/>
  <c r="F20" i="3"/>
  <c r="F21" i="3"/>
  <c r="F22" i="3"/>
  <c r="F17" i="3"/>
  <c r="F15" i="3"/>
  <c r="F16" i="3"/>
  <c r="F12" i="3"/>
  <c r="F10" i="3"/>
  <c r="F13" i="3"/>
  <c r="G31" i="3"/>
  <c r="E31" i="3"/>
  <c r="E30" i="3"/>
  <c r="E13" i="3"/>
  <c r="E12" i="3"/>
  <c r="E11" i="3"/>
  <c r="E10" i="3"/>
  <c r="H36" i="3"/>
  <c r="F25" i="3"/>
  <c r="D36" i="3"/>
  <c r="C2" i="7"/>
  <c r="C3" i="7" s="1"/>
  <c r="B3" i="7"/>
  <c r="F10" i="5"/>
  <c r="F9" i="5"/>
  <c r="F6" i="5"/>
  <c r="H7" i="2"/>
  <c r="H8" i="2"/>
  <c r="H9" i="2"/>
  <c r="H6" i="2"/>
  <c r="G7" i="2"/>
  <c r="G10" i="2" s="1"/>
  <c r="G8" i="2"/>
  <c r="G9" i="2"/>
  <c r="G6" i="2"/>
  <c r="F7" i="2"/>
  <c r="F10" i="2" s="1"/>
  <c r="F8" i="2"/>
  <c r="F9" i="2"/>
  <c r="F6" i="2"/>
  <c r="E9" i="2"/>
  <c r="E8" i="2"/>
  <c r="E7" i="2"/>
  <c r="E6" i="2"/>
  <c r="G36" i="3" l="1"/>
  <c r="D5" i="8" s="1"/>
  <c r="E5" i="8"/>
  <c r="B7" i="8"/>
  <c r="E4" i="8"/>
  <c r="D4" i="8"/>
  <c r="E36" i="3"/>
  <c r="F36" i="3"/>
  <c r="I11" i="5"/>
  <c r="G5" i="6"/>
  <c r="F5" i="6"/>
  <c r="H11" i="5"/>
  <c r="G11" i="5"/>
  <c r="B5" i="8" l="1"/>
  <c r="C5" i="8"/>
  <c r="E7" i="8"/>
  <c r="D7" i="8"/>
  <c r="C7" i="8"/>
  <c r="D8" i="8"/>
  <c r="E8" i="8"/>
  <c r="E10" i="2"/>
  <c r="E5" i="6"/>
  <c r="F20" i="1"/>
  <c r="B10" i="9" l="1"/>
  <c r="B10" i="8"/>
  <c r="D10" i="9"/>
  <c r="C10" i="9"/>
  <c r="D10" i="8"/>
  <c r="C8" i="8"/>
  <c r="C10" i="8" s="1"/>
  <c r="B18" i="9" l="1"/>
  <c r="B23" i="9" s="1"/>
  <c r="B17" i="9"/>
  <c r="B22" i="9" s="1"/>
  <c r="B16" i="9"/>
  <c r="B21" i="9" s="1"/>
  <c r="B15" i="9"/>
  <c r="C18" i="9"/>
  <c r="C23" i="9" s="1"/>
  <c r="C17" i="9"/>
  <c r="C22" i="9" s="1"/>
  <c r="C16" i="9"/>
  <c r="C21" i="9" s="1"/>
  <c r="C15" i="9"/>
  <c r="D18" i="9"/>
  <c r="D23" i="9" s="1"/>
  <c r="D17" i="9"/>
  <c r="D22" i="9" s="1"/>
  <c r="D16" i="9"/>
  <c r="D21" i="9" s="1"/>
  <c r="D15" i="9"/>
  <c r="E10" i="9"/>
  <c r="E10" i="8"/>
  <c r="B20" i="9" l="1"/>
  <c r="C20" i="9"/>
  <c r="D20" i="9"/>
  <c r="D24" i="9"/>
  <c r="E15" i="9"/>
  <c r="E18" i="9"/>
  <c r="E23" i="9" s="1"/>
  <c r="E16" i="9"/>
  <c r="E21" i="9" s="1"/>
  <c r="E17" i="9"/>
  <c r="E22" i="9" s="1"/>
  <c r="B24" i="9"/>
  <c r="F24" i="9"/>
  <c r="E24" i="9"/>
  <c r="C24" i="9"/>
  <c r="E20" i="9" l="1"/>
  <c r="C25" i="9" l="1"/>
  <c r="D25" i="9"/>
  <c r="B25" i="9"/>
  <c r="F25" i="9"/>
  <c r="E25" i="9"/>
</calcChain>
</file>

<file path=xl/sharedStrings.xml><?xml version="1.0" encoding="utf-8"?>
<sst xmlns="http://schemas.openxmlformats.org/spreadsheetml/2006/main" count="516" uniqueCount="263">
  <si>
    <t>Producto y/o servicio</t>
  </si>
  <si>
    <t>kcal /kg</t>
  </si>
  <si>
    <t>Total calorías</t>
  </si>
  <si>
    <t>Presentación (unidad de medida)</t>
  </si>
  <si>
    <t>Cantidad/hogar/mes (kg) del alimento principal</t>
  </si>
  <si>
    <t>Precio por unidad</t>
  </si>
  <si>
    <t>Costo de un hogar de una (1) persona</t>
  </si>
  <si>
    <t>Costo de un hogar de dos (2) personas</t>
  </si>
  <si>
    <t>Costo de un hogar de tres (3) personas</t>
  </si>
  <si>
    <t>Costo de un hogar de cuatro (4) personas</t>
  </si>
  <si>
    <t>Arroz blanco</t>
  </si>
  <si>
    <t>Kilo</t>
  </si>
  <si>
    <t>Harina de maíz precocida</t>
  </si>
  <si>
    <t>Pastas</t>
  </si>
  <si>
    <t>Plátano verde</t>
  </si>
  <si>
    <t>Papa pastusa o sabanera</t>
  </si>
  <si>
    <t>Yuca</t>
  </si>
  <si>
    <t>Aceite mezclas vegetales</t>
  </si>
  <si>
    <t>Litro</t>
  </si>
  <si>
    <t>Huevos</t>
  </si>
  <si>
    <t>Cubeta</t>
  </si>
  <si>
    <t>Pollo</t>
  </si>
  <si>
    <t>Atún en lomitos</t>
  </si>
  <si>
    <t>Unidad</t>
  </si>
  <si>
    <t>Leche de vaca líquida entera</t>
  </si>
  <si>
    <t>Lenteja</t>
  </si>
  <si>
    <t>Queso blanco fresco</t>
  </si>
  <si>
    <t>Tomate chonto</t>
  </si>
  <si>
    <t>Zanahoria</t>
  </si>
  <si>
    <t>Banano</t>
  </si>
  <si>
    <t>Azúcar</t>
  </si>
  <si>
    <t>Sal</t>
  </si>
  <si>
    <t>Costo Total por hogar</t>
  </si>
  <si>
    <t>Servicio</t>
  </si>
  <si>
    <t>Producto</t>
  </si>
  <si>
    <t>Costo por unidad</t>
  </si>
  <si>
    <t>Prorrateo</t>
  </si>
  <si>
    <t>Pago de arriendo</t>
  </si>
  <si>
    <t xml:space="preserve">Mensual </t>
  </si>
  <si>
    <t>Servicio de energía o luz</t>
  </si>
  <si>
    <t>Servicio de gas</t>
  </si>
  <si>
    <t>Servicio de internet</t>
  </si>
  <si>
    <t>Atículos esenciales para el hogar</t>
  </si>
  <si>
    <t xml:space="preserve">Anual </t>
  </si>
  <si>
    <t>Total</t>
  </si>
  <si>
    <t>Cantidad</t>
  </si>
  <si>
    <t>Costo del hogar al mes (1 miembro)</t>
  </si>
  <si>
    <t>Costo del hogar al mes (2 miembros)</t>
  </si>
  <si>
    <t>Costo del hogar al mes (3 miembros)</t>
  </si>
  <si>
    <t>Recipiente almacenamiento de agua (10 o 20 Lts)</t>
  </si>
  <si>
    <t>Recipiente para recolección de residuos sólidos, se recomienda que sea de pedal, vaivén o sin tapa</t>
  </si>
  <si>
    <t>Trapero por vivienda</t>
  </si>
  <si>
    <t>Insecticidas</t>
  </si>
  <si>
    <t>Escobas</t>
  </si>
  <si>
    <t>Recogedores</t>
  </si>
  <si>
    <t>Toldillos</t>
  </si>
  <si>
    <t>1 por persona anual</t>
  </si>
  <si>
    <t>Bloqueador solar</t>
  </si>
  <si>
    <t>100 ml por persona semestral</t>
  </si>
  <si>
    <t>1 por persona semestral</t>
  </si>
  <si>
    <t>Cortauñas</t>
  </si>
  <si>
    <t>Desinfectante de vivienda (Compuesto de cloro)</t>
  </si>
  <si>
    <t>100 mililitros por persona por mes</t>
  </si>
  <si>
    <t>250 gramos o mililitros por persona por mes</t>
  </si>
  <si>
    <t>90 ml por persona por mes</t>
  </si>
  <si>
    <t>200 gramos o mililitros por persona por mes</t>
  </si>
  <si>
    <t>Toallas de Papel</t>
  </si>
  <si>
    <t>1 rollo de papel por persona/mes.</t>
  </si>
  <si>
    <t>4 rollo de papel por persona/mes.</t>
  </si>
  <si>
    <t>Tapabocas</t>
  </si>
  <si>
    <t>Cepillo de dientes niños</t>
  </si>
  <si>
    <t>Tratamiento de agua - Recipiente de cerámica para filtros (F)</t>
  </si>
  <si>
    <t>Tratamiento de agua - Pastillas potabilizadoras de agua (F)</t>
  </si>
  <si>
    <t>Agua segura - Acueducto</t>
  </si>
  <si>
    <t>Manejo de aguas residuales - Alcantarillado</t>
  </si>
  <si>
    <t>Manejo de residuos sólidos - sistema convencional</t>
  </si>
  <si>
    <t>Costo total por hogar</t>
  </si>
  <si>
    <t>Kit escolar preescolar</t>
  </si>
  <si>
    <t>Promedio</t>
  </si>
  <si>
    <t>Precio total al año</t>
  </si>
  <si>
    <t>Costo del hogar al mes para un niño o niña</t>
  </si>
  <si>
    <t>Costo del hogar al mes para dos niños o niñas</t>
  </si>
  <si>
    <t>Anual</t>
  </si>
  <si>
    <t>Cartuchera</t>
  </si>
  <si>
    <t>Lápiz negro</t>
  </si>
  <si>
    <t>3 Cajas de 10 Unidades</t>
  </si>
  <si>
    <t>Lápiz rojo</t>
  </si>
  <si>
    <t>Tijera punta roma</t>
  </si>
  <si>
    <t>Regla plástica 30cm</t>
  </si>
  <si>
    <t>Borrador de nata</t>
  </si>
  <si>
    <t>Colores x 12 largos</t>
  </si>
  <si>
    <t>Caja</t>
  </si>
  <si>
    <t>Tajalápíz metálico</t>
  </si>
  <si>
    <t>Plastilina x8 larga</t>
  </si>
  <si>
    <t>Cuaderno 100H/cuadriculado</t>
  </si>
  <si>
    <t>8 Unidades</t>
  </si>
  <si>
    <t>Caja de témperas</t>
  </si>
  <si>
    <t>Block de papel blanco tamaño carta</t>
  </si>
  <si>
    <t>Block de papel iris tamaño carta</t>
  </si>
  <si>
    <t>Colbón o pegastic grande</t>
  </si>
  <si>
    <t>Pinceles de diferentes tamaños</t>
  </si>
  <si>
    <t>3 Cajas de 4 unidades</t>
  </si>
  <si>
    <t>Paquete de octavos de papel silueta</t>
  </si>
  <si>
    <t>Paquete de 20 octavos</t>
  </si>
  <si>
    <t>Juego de ensartado</t>
  </si>
  <si>
    <t>Cuento</t>
  </si>
  <si>
    <t>Kit escolar primaria</t>
  </si>
  <si>
    <t>Costo del hogar al mes para dos niños, niñas o adolescentes</t>
  </si>
  <si>
    <t>Cuaderno 100H/rayado</t>
  </si>
  <si>
    <t>4 Unidades</t>
  </si>
  <si>
    <t>Cuaderno 50H/cuadriculado</t>
  </si>
  <si>
    <t>2 Unidades</t>
  </si>
  <si>
    <t>Esfero negro</t>
  </si>
  <si>
    <t>Caja de 10 unidades</t>
  </si>
  <si>
    <t>Compás</t>
  </si>
  <si>
    <t>Esfero rojo</t>
  </si>
  <si>
    <t>Morral para guardar</t>
  </si>
  <si>
    <t>Kit escolar secundaria/bachillerato</t>
  </si>
  <si>
    <t>Tajalápiz metálico</t>
  </si>
  <si>
    <t>5 Unidades</t>
  </si>
  <si>
    <t xml:space="preserve">Promedio de las tres canastas </t>
  </si>
  <si>
    <t xml:space="preserve">Costo de un hogar de una (1) persona </t>
  </si>
  <si>
    <t xml:space="preserve">Costo de un hogar de dos (2) personas </t>
  </si>
  <si>
    <t xml:space="preserve">Costo de un hogar de tres (3) personas </t>
  </si>
  <si>
    <t xml:space="preserve">Costo de un hogar de cuatro (4) personas </t>
  </si>
  <si>
    <t>Condones (para un solo miembro del hogar)</t>
  </si>
  <si>
    <t>6 Unidades</t>
  </si>
  <si>
    <t>Mensual</t>
  </si>
  <si>
    <t>Sueros o sales de rehidratación oral</t>
  </si>
  <si>
    <t>1 Unidad</t>
  </si>
  <si>
    <t xml:space="preserve">Semestral </t>
  </si>
  <si>
    <t>Buscapina (caja de 20 pastillas)</t>
  </si>
  <si>
    <t>1 Caja por 20 unidades</t>
  </si>
  <si>
    <t>Antigripal para adultos (caja de 10 cápsulas)</t>
  </si>
  <si>
    <t>1 Caja por 10 unidades</t>
  </si>
  <si>
    <t>Semestral</t>
  </si>
  <si>
    <t>Antigripal para niños</t>
  </si>
  <si>
    <t>Cita médica general</t>
  </si>
  <si>
    <t xml:space="preserve">1 cita por persona </t>
  </si>
  <si>
    <t>Cita odontológica general</t>
  </si>
  <si>
    <t>Cita ginecológica (para un solo miembro del hogar)</t>
  </si>
  <si>
    <t>Protección general - Registro Civil (transporte y trámites)</t>
  </si>
  <si>
    <t>18 años (/216)</t>
  </si>
  <si>
    <t>Protección General - Transporte para citas médicas</t>
  </si>
  <si>
    <t>Transporte</t>
  </si>
  <si>
    <t>CANASTA BÁSICA</t>
  </si>
  <si>
    <t>Sector</t>
  </si>
  <si>
    <t>Hogar de una persona</t>
  </si>
  <si>
    <t>Hogar de dos personas</t>
  </si>
  <si>
    <t>Hogar de tres personas</t>
  </si>
  <si>
    <t>Hogar de cuatro personas</t>
  </si>
  <si>
    <t>Alimentos</t>
  </si>
  <si>
    <t>Alojamiento</t>
  </si>
  <si>
    <t>Agua y saneamiento</t>
  </si>
  <si>
    <t>Educación</t>
  </si>
  <si>
    <t>Salud</t>
  </si>
  <si>
    <t>Protección</t>
  </si>
  <si>
    <t>Medios de vida / integración</t>
  </si>
  <si>
    <t>Canasta básica (hogar/mes)</t>
  </si>
  <si>
    <t xml:space="preserve">  -</t>
  </si>
  <si>
    <t>Costo de un hogar de una persona</t>
  </si>
  <si>
    <t xml:space="preserve"> -</t>
  </si>
  <si>
    <t>Suplemento nutricional</t>
  </si>
  <si>
    <t>Presentación</t>
  </si>
  <si>
    <t>Promedio  tratamiento por seis meses</t>
  </si>
  <si>
    <t>Cantidad al mes</t>
  </si>
  <si>
    <t>Cantidad promedio por hogar al mes</t>
  </si>
  <si>
    <t>Precio unidad</t>
  </si>
  <si>
    <t>Precio total mes</t>
  </si>
  <si>
    <t>Precio total tratamiento por hogar</t>
  </si>
  <si>
    <t>Niños y niñas de 6 a 59 meses</t>
  </si>
  <si>
    <t>Micronutrientes en polvo</t>
  </si>
  <si>
    <t>Vitamix (Caja x 30 sobres)</t>
  </si>
  <si>
    <t>Gestantes</t>
  </si>
  <si>
    <t>Sulfato Ferroso</t>
  </si>
  <si>
    <t>Sulfato Ferroso 300Mg Tabletas Recubiertas Frasco X 100 Tabletas Ecar</t>
  </si>
  <si>
    <t>Ácido Fólico</t>
  </si>
  <si>
    <t>Folic Prevent 0.4Mg Tab Caj X 30</t>
  </si>
  <si>
    <t>Calcio</t>
  </si>
  <si>
    <t>Calcio Mk Tabletas Cubiertas (Frasco x 60 tabletas)</t>
  </si>
  <si>
    <t>Menos de 450</t>
  </si>
  <si>
    <t>Entre 450 y 900</t>
  </si>
  <si>
    <t>Entre 900 y 1'800</t>
  </si>
  <si>
    <t>Más de 1'800</t>
  </si>
  <si>
    <t>1 por persona mensual</t>
  </si>
  <si>
    <t>Población</t>
  </si>
  <si>
    <t xml:space="preserve">Costo de un hogar de cinco (5) </t>
  </si>
  <si>
    <t>Costo de un hogar de cinco (5) personas</t>
  </si>
  <si>
    <t>Costo del hogar al mes (4 miembros)</t>
  </si>
  <si>
    <t>Costo del hogar al mes (5 miembros)</t>
  </si>
  <si>
    <t>Costo del hogar al mes para tres niños o niñas</t>
  </si>
  <si>
    <t>Costo del hogar al mes para tres niños, niñas o adolescentes</t>
  </si>
  <si>
    <t xml:space="preserve">Costo de un hogar de cinco (5) personas </t>
  </si>
  <si>
    <t>Hogar de cinco personas</t>
  </si>
  <si>
    <t>Papel Higiénico</t>
  </si>
  <si>
    <t>1 por personas al mes</t>
  </si>
  <si>
    <t xml:space="preserve">1 por persona al mes </t>
  </si>
  <si>
    <t>4 por persona al mes</t>
  </si>
  <si>
    <t xml:space="preserve">General </t>
  </si>
  <si>
    <t>1 por hogar semestral</t>
  </si>
  <si>
    <t>1.000 mililitros por hogar por mes</t>
  </si>
  <si>
    <t>1 paquete por persona menstruante al mes</t>
  </si>
  <si>
    <t>1 por perona al mes</t>
  </si>
  <si>
    <t>Pañales bebés</t>
  </si>
  <si>
    <t>Jabón de baño bebé</t>
  </si>
  <si>
    <t>Champú bebé</t>
  </si>
  <si>
    <t>Agua embotellada</t>
  </si>
  <si>
    <t>Artículos de menaje: Juego de cubiertos y juego de vajilla (4 personas)</t>
  </si>
  <si>
    <t>Artículos de cocina: Juego ollas, y utensilios de cocina como cucharón, pinza, tenedor (4 personas)</t>
  </si>
  <si>
    <t>Artículos para dormir: Almohada, funda juego sábanas cama sencilla, colchoneta cama sencilla, cobija, toldillo</t>
  </si>
  <si>
    <t>Al menos un gasto en estos artículos (alguno o reparación) anual por hogar</t>
  </si>
  <si>
    <t>Paquete por 30 por hogar anual (si solo se usa este método, son de manera mensual)</t>
  </si>
  <si>
    <t xml:space="preserve">1 por hogar mensual </t>
  </si>
  <si>
    <t xml:space="preserve">1 paquete por hogar mensual </t>
  </si>
  <si>
    <t>1 por hogar anual</t>
  </si>
  <si>
    <t>20 litros por persona a la semana</t>
  </si>
  <si>
    <t>Jabón de baño Adulto*</t>
  </si>
  <si>
    <t>Jabón para lavado de ropa o Detergente*</t>
  </si>
  <si>
    <t>Toallas higiénicas paquete de 10 toallas *</t>
  </si>
  <si>
    <t>Crema dental*</t>
  </si>
  <si>
    <t>Cepillo de dientes adultos*</t>
  </si>
  <si>
    <t xml:space="preserve">Ropa (incluida ropa interior) / zapatos* </t>
  </si>
  <si>
    <t>Morral con logo*</t>
  </si>
  <si>
    <t xml:space="preserve">Champú* </t>
  </si>
  <si>
    <t>Toalla de tela por persona 40*70*</t>
  </si>
  <si>
    <t>Espejo*</t>
  </si>
  <si>
    <t>Desodorante*</t>
  </si>
  <si>
    <t>Cuchillas de afeitar*</t>
  </si>
  <si>
    <t>Gel Higienizante*</t>
  </si>
  <si>
    <t>Preservativos (para un solo miembro del hogar)*</t>
  </si>
  <si>
    <t>Acceso a métodos anticonceptivos (incluida la Anticoncepción de emergencia)*</t>
  </si>
  <si>
    <t xml:space="preserve">1 por personas al mes </t>
  </si>
  <si>
    <t>VBG - Kits de Dignidad (aquellos elementos que no están cubiertos en WASH, Salud, educación y alojamiento): bandas para recoger cabello, cepillo de peinar, linterna con dinamo, silbato metálico</t>
  </si>
  <si>
    <t>Tamaño del hogar/ingreso (GIFMM,2021)</t>
  </si>
  <si>
    <t xml:space="preserve">Ingresos GIFMM </t>
  </si>
  <si>
    <t>Ingresos GEIH total</t>
  </si>
  <si>
    <t>Ingresos GEIH probreza</t>
  </si>
  <si>
    <t>Ingresos GEIH probreza extrema</t>
  </si>
  <si>
    <t>Brecha 1 ( MEB- ingresos GIFMM)</t>
  </si>
  <si>
    <t>Brecha 2 ( MEB- ingresos GEIH)</t>
  </si>
  <si>
    <t>Brecha3 ( MEB- ingresos GEIH pobreza)</t>
  </si>
  <si>
    <t>Brecha 4 ( MEB- ingresos GEIH pobreza extrema)</t>
  </si>
  <si>
    <t>Monto (brecha 4)</t>
  </si>
  <si>
    <t>Monto (brecha 3)</t>
  </si>
  <si>
    <t>Monto (brecha 2)</t>
  </si>
  <si>
    <t>-</t>
  </si>
  <si>
    <t>Monto 50%</t>
  </si>
  <si>
    <t>Monto 40%</t>
  </si>
  <si>
    <t>Monto 60%</t>
  </si>
  <si>
    <t>Monto para N personas/  monto para 4 personas</t>
  </si>
  <si>
    <t>MEB para N personas / MEB para 4 personas</t>
  </si>
  <si>
    <t>Montos actuales</t>
  </si>
  <si>
    <t>Respecto a la línea de pobreza calculada por el GTM para población venezolana</t>
  </si>
  <si>
    <t>Vs línea de pobreza ($354.031)</t>
  </si>
  <si>
    <t xml:space="preserve">Cobertura de la brecha </t>
  </si>
  <si>
    <t>Brecha</t>
  </si>
  <si>
    <t>Cobertura de la brecha de los montos actuales</t>
  </si>
  <si>
    <t>Monto 45%</t>
  </si>
  <si>
    <t>Propuesta montos</t>
  </si>
  <si>
    <t xml:space="preserve">Porcentaje de aumento vs los montos actuales </t>
  </si>
  <si>
    <t xml:space="preserve">Medios de vida </t>
  </si>
  <si>
    <t>Agua, saneamiento e higiene</t>
  </si>
  <si>
    <t>Seguridad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</si>
</sst>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Leelawadee"/>
      <family val="2"/>
    </font>
    <font>
      <b/>
      <sz val="11"/>
      <color theme="0"/>
      <name val="Leelawadee"/>
      <family val="2"/>
    </font>
    <font>
      <sz val="11"/>
      <color theme="1"/>
      <name val="Leelawadee"/>
      <family val="2"/>
    </font>
    <font>
      <b/>
      <sz val="11"/>
      <color theme="1" tint="4.9989318521683403E-2"/>
      <name val="Leelawadee"/>
      <family val="2"/>
    </font>
    <font>
      <b/>
      <sz val="11"/>
      <color rgb="FF000000"/>
      <name val="Leelawadee"/>
      <family val="2"/>
    </font>
    <font>
      <sz val="11"/>
      <color rgb="FF000000"/>
      <name val="Leelawadee"/>
      <family val="2"/>
    </font>
    <font>
      <b/>
      <sz val="10"/>
      <color theme="1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4E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5">
    <xf numFmtId="0" fontId="0" fillId="0" borderId="0" xfId="0"/>
    <xf numFmtId="8" fontId="0" fillId="0" borderId="0" xfId="0" applyNumberFormat="1"/>
    <xf numFmtId="0" fontId="0" fillId="0" borderId="1" xfId="0" applyBorder="1"/>
    <xf numFmtId="8" fontId="2" fillId="0" borderId="1" xfId="0" applyNumberFormat="1" applyFont="1" applyBorder="1" applyAlignment="1">
      <alignment horizontal="center" wrapText="1"/>
    </xf>
    <xf numFmtId="6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8" fontId="2" fillId="0" borderId="1" xfId="0" applyNumberFormat="1" applyFont="1" applyBorder="1" applyAlignment="1">
      <alignment horizontal="right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0" fontId="3" fillId="3" borderId="3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44" fontId="1" fillId="6" borderId="7" xfId="0" applyNumberFormat="1" applyFont="1" applyFill="1" applyBorder="1" applyAlignment="1">
      <alignment horizontal="center" wrapText="1"/>
    </xf>
    <xf numFmtId="6" fontId="2" fillId="2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2" xfId="0" applyBorder="1"/>
    <xf numFmtId="0" fontId="3" fillId="4" borderId="9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8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0" fillId="0" borderId="0" xfId="1" applyNumberFormat="1" applyFont="1"/>
    <xf numFmtId="6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3" borderId="1" xfId="0" applyFill="1" applyBorder="1"/>
    <xf numFmtId="44" fontId="1" fillId="3" borderId="1" xfId="0" applyNumberFormat="1" applyFont="1" applyFill="1" applyBorder="1"/>
    <xf numFmtId="164" fontId="0" fillId="7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6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2" fillId="0" borderId="10" xfId="0" applyFont="1" applyBorder="1"/>
    <xf numFmtId="0" fontId="3" fillId="0" borderId="8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4" borderId="9" xfId="0" applyFont="1" applyFill="1" applyBorder="1"/>
    <xf numFmtId="0" fontId="2" fillId="4" borderId="1" xfId="0" applyFont="1" applyFill="1" applyBorder="1"/>
    <xf numFmtId="6" fontId="2" fillId="4" borderId="1" xfId="0" applyNumberFormat="1" applyFont="1" applyFill="1" applyBorder="1"/>
    <xf numFmtId="0" fontId="2" fillId="0" borderId="0" xfId="0" applyFont="1" applyAlignment="1">
      <alignment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vertical="center"/>
    </xf>
    <xf numFmtId="164" fontId="6" fillId="2" borderId="15" xfId="1" applyNumberFormat="1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164" fontId="7" fillId="9" borderId="15" xfId="0" applyNumberFormat="1" applyFont="1" applyFill="1" applyBorder="1" applyAlignment="1">
      <alignment horizontal="center" vertical="center"/>
    </xf>
    <xf numFmtId="3" fontId="7" fillId="9" borderId="15" xfId="0" applyNumberFormat="1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vertical="center"/>
    </xf>
    <xf numFmtId="164" fontId="8" fillId="10" borderId="1" xfId="1" applyNumberFormat="1" applyFont="1" applyFill="1" applyBorder="1" applyAlignment="1">
      <alignment horizontal="center"/>
    </xf>
    <xf numFmtId="164" fontId="8" fillId="10" borderId="17" xfId="1" applyNumberFormat="1" applyFont="1" applyFill="1" applyBorder="1" applyAlignment="1">
      <alignment horizontal="center"/>
    </xf>
    <xf numFmtId="164" fontId="8" fillId="11" borderId="1" xfId="1" applyNumberFormat="1" applyFont="1" applyFill="1" applyBorder="1" applyAlignment="1">
      <alignment horizontal="center"/>
    </xf>
    <xf numFmtId="164" fontId="8" fillId="11" borderId="17" xfId="1" applyNumberFormat="1" applyFont="1" applyFill="1" applyBorder="1" applyAlignment="1">
      <alignment horizontal="center"/>
    </xf>
    <xf numFmtId="9" fontId="8" fillId="0" borderId="0" xfId="0" applyNumberFormat="1" applyFont="1"/>
    <xf numFmtId="9" fontId="8" fillId="0" borderId="0" xfId="2" applyFont="1"/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 wrapText="1"/>
    </xf>
    <xf numFmtId="6" fontId="2" fillId="0" borderId="20" xfId="0" applyNumberFormat="1" applyFont="1" applyBorder="1" applyAlignment="1">
      <alignment horizontal="justify" vertical="center"/>
    </xf>
    <xf numFmtId="0" fontId="2" fillId="0" borderId="20" xfId="0" applyFont="1" applyBorder="1" applyAlignment="1">
      <alignment horizontal="center" vertical="center"/>
    </xf>
    <xf numFmtId="6" fontId="2" fillId="0" borderId="0" xfId="0" applyNumberFormat="1" applyFont="1"/>
    <xf numFmtId="0" fontId="3" fillId="0" borderId="1" xfId="0" applyFont="1" applyFill="1" applyBorder="1" applyAlignment="1">
      <alignment wrapText="1"/>
    </xf>
    <xf numFmtId="8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6" xfId="0" applyFont="1" applyFill="1" applyBorder="1"/>
    <xf numFmtId="8" fontId="3" fillId="5" borderId="6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0" fontId="2" fillId="0" borderId="0" xfId="0" applyFont="1" applyAlignment="1"/>
    <xf numFmtId="0" fontId="10" fillId="13" borderId="23" xfId="0" applyFont="1" applyFill="1" applyBorder="1" applyAlignment="1">
      <alignment horizontal="center" wrapText="1" readingOrder="1"/>
    </xf>
    <xf numFmtId="0" fontId="10" fillId="13" borderId="23" xfId="0" applyFont="1" applyFill="1" applyBorder="1" applyAlignment="1">
      <alignment horizontal="center" vertical="center" wrapText="1" readingOrder="1"/>
    </xf>
    <xf numFmtId="0" fontId="11" fillId="13" borderId="23" xfId="0" applyFont="1" applyFill="1" applyBorder="1" applyAlignment="1">
      <alignment horizontal="center" wrapText="1" readingOrder="1"/>
    </xf>
    <xf numFmtId="9" fontId="11" fillId="13" borderId="23" xfId="0" applyNumberFormat="1" applyFont="1" applyFill="1" applyBorder="1" applyAlignment="1">
      <alignment horizontal="center" wrapText="1" readingOrder="1"/>
    </xf>
    <xf numFmtId="6" fontId="2" fillId="0" borderId="1" xfId="0" applyNumberFormat="1" applyFont="1" applyFill="1" applyBorder="1" applyAlignment="1">
      <alignment horizontal="center" vertical="center" wrapText="1"/>
    </xf>
    <xf numFmtId="6" fontId="2" fillId="0" borderId="1" xfId="1" applyNumberFormat="1" applyFont="1" applyFill="1" applyBorder="1" applyAlignment="1">
      <alignment horizontal="center" vertical="center" wrapText="1"/>
    </xf>
    <xf numFmtId="6" fontId="3" fillId="5" borderId="1" xfId="0" applyNumberFormat="1" applyFont="1" applyFill="1" applyBorder="1"/>
    <xf numFmtId="164" fontId="0" fillId="5" borderId="9" xfId="0" applyNumberFormat="1" applyFill="1" applyBorder="1"/>
    <xf numFmtId="164" fontId="0" fillId="5" borderId="1" xfId="0" applyNumberFormat="1" applyFill="1" applyBorder="1"/>
    <xf numFmtId="164" fontId="1" fillId="6" borderId="7" xfId="0" applyNumberFormat="1" applyFont="1" applyFill="1" applyBorder="1" applyAlignment="1">
      <alignment horizontal="center" wrapText="1"/>
    </xf>
    <xf numFmtId="6" fontId="3" fillId="5" borderId="1" xfId="0" applyNumberFormat="1" applyFont="1" applyFill="1" applyBorder="1" applyAlignment="1">
      <alignment horizontal="center"/>
    </xf>
    <xf numFmtId="6" fontId="0" fillId="4" borderId="1" xfId="0" applyNumberFormat="1" applyFill="1" applyBorder="1" applyAlignment="1">
      <alignment horizontal="center"/>
    </xf>
    <xf numFmtId="6" fontId="1" fillId="5" borderId="1" xfId="0" applyNumberFormat="1" applyFont="1" applyFill="1" applyBorder="1" applyAlignment="1">
      <alignment horizontal="center"/>
    </xf>
    <xf numFmtId="44" fontId="2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44" fontId="2" fillId="0" borderId="6" xfId="1" applyFont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6" fontId="2" fillId="7" borderId="1" xfId="0" applyNumberFormat="1" applyFont="1" applyFill="1" applyBorder="1"/>
    <xf numFmtId="0" fontId="3" fillId="4" borderId="1" xfId="0" applyFont="1" applyFill="1" applyBorder="1"/>
    <xf numFmtId="0" fontId="3" fillId="0" borderId="0" xfId="0" applyFont="1" applyAlignment="1">
      <alignment wrapText="1"/>
    </xf>
    <xf numFmtId="164" fontId="7" fillId="9" borderId="15" xfId="1" applyNumberFormat="1" applyFont="1" applyFill="1" applyBorder="1" applyAlignment="1">
      <alignment horizontal="center" vertical="center" wrapText="1"/>
    </xf>
    <xf numFmtId="164" fontId="9" fillId="12" borderId="9" xfId="1" applyNumberFormat="1" applyFont="1" applyFill="1" applyBorder="1" applyAlignment="1">
      <alignment horizontal="center"/>
    </xf>
    <xf numFmtId="9" fontId="6" fillId="8" borderId="16" xfId="0" applyNumberFormat="1" applyFont="1" applyFill="1" applyBorder="1" applyAlignment="1">
      <alignment vertical="center"/>
    </xf>
    <xf numFmtId="164" fontId="9" fillId="12" borderId="0" xfId="1" applyNumberFormat="1" applyFont="1" applyFill="1" applyBorder="1" applyAlignment="1">
      <alignment horizontal="center"/>
    </xf>
    <xf numFmtId="0" fontId="6" fillId="8" borderId="16" xfId="0" applyFont="1" applyFill="1" applyBorder="1" applyAlignment="1">
      <alignment vertical="center" wrapText="1"/>
    </xf>
    <xf numFmtId="0" fontId="6" fillId="8" borderId="32" xfId="0" applyFont="1" applyFill="1" applyBorder="1" applyAlignment="1">
      <alignment vertical="center"/>
    </xf>
    <xf numFmtId="164" fontId="8" fillId="15" borderId="1" xfId="1" applyNumberFormat="1" applyFont="1" applyFill="1" applyBorder="1" applyAlignment="1">
      <alignment horizontal="center"/>
    </xf>
    <xf numFmtId="164" fontId="8" fillId="15" borderId="17" xfId="1" applyNumberFormat="1" applyFont="1" applyFill="1" applyBorder="1" applyAlignment="1">
      <alignment horizontal="center"/>
    </xf>
    <xf numFmtId="0" fontId="6" fillId="8" borderId="35" xfId="0" applyFont="1" applyFill="1" applyBorder="1" applyAlignment="1">
      <alignment vertical="center"/>
    </xf>
    <xf numFmtId="9" fontId="6" fillId="8" borderId="35" xfId="0" applyNumberFormat="1" applyFont="1" applyFill="1" applyBorder="1" applyAlignment="1">
      <alignment vertical="center"/>
    </xf>
    <xf numFmtId="0" fontId="8" fillId="16" borderId="35" xfId="0" applyFont="1" applyFill="1" applyBorder="1" applyAlignment="1">
      <alignment horizontal="center"/>
    </xf>
    <xf numFmtId="164" fontId="8" fillId="16" borderId="1" xfId="1" applyNumberFormat="1" applyFont="1" applyFill="1" applyBorder="1"/>
    <xf numFmtId="164" fontId="8" fillId="16" borderId="17" xfId="1" applyNumberFormat="1" applyFont="1" applyFill="1" applyBorder="1"/>
    <xf numFmtId="9" fontId="8" fillId="0" borderId="1" xfId="2" applyFont="1" applyBorder="1"/>
    <xf numFmtId="9" fontId="8" fillId="0" borderId="17" xfId="2" applyFont="1" applyBorder="1"/>
    <xf numFmtId="0" fontId="8" fillId="16" borderId="35" xfId="0" applyFont="1" applyFill="1" applyBorder="1"/>
    <xf numFmtId="9" fontId="8" fillId="16" borderId="1" xfId="2" applyFont="1" applyFill="1" applyBorder="1"/>
    <xf numFmtId="9" fontId="8" fillId="16" borderId="17" xfId="2" applyFont="1" applyFill="1" applyBorder="1"/>
    <xf numFmtId="164" fontId="8" fillId="15" borderId="1" xfId="1" applyNumberFormat="1" applyFont="1" applyFill="1" applyBorder="1"/>
    <xf numFmtId="164" fontId="8" fillId="15" borderId="17" xfId="1" applyNumberFormat="1" applyFont="1" applyFill="1" applyBorder="1"/>
    <xf numFmtId="0" fontId="8" fillId="4" borderId="35" xfId="0" applyFont="1" applyFill="1" applyBorder="1" applyAlignment="1">
      <alignment horizontal="center"/>
    </xf>
    <xf numFmtId="164" fontId="8" fillId="4" borderId="1" xfId="1" applyNumberFormat="1" applyFont="1" applyFill="1" applyBorder="1"/>
    <xf numFmtId="164" fontId="8" fillId="4" borderId="17" xfId="1" applyNumberFormat="1" applyFont="1" applyFill="1" applyBorder="1"/>
    <xf numFmtId="0" fontId="8" fillId="4" borderId="36" xfId="0" applyFont="1" applyFill="1" applyBorder="1" applyAlignment="1">
      <alignment horizontal="center"/>
    </xf>
    <xf numFmtId="9" fontId="8" fillId="4" borderId="4" xfId="2" applyFont="1" applyFill="1" applyBorder="1"/>
    <xf numFmtId="9" fontId="8" fillId="4" borderId="37" xfId="2" applyFont="1" applyFill="1" applyBorder="1"/>
    <xf numFmtId="164" fontId="9" fillId="12" borderId="38" xfId="1" applyNumberFormat="1" applyFont="1" applyFill="1" applyBorder="1" applyAlignment="1">
      <alignment horizontal="center"/>
    </xf>
    <xf numFmtId="164" fontId="9" fillId="12" borderId="31" xfId="1" applyNumberFormat="1" applyFont="1" applyFill="1" applyBorder="1" applyAlignment="1">
      <alignment horizontal="center"/>
    </xf>
    <xf numFmtId="9" fontId="6" fillId="8" borderId="33" xfId="0" applyNumberFormat="1" applyFont="1" applyFill="1" applyBorder="1" applyAlignment="1">
      <alignment vertical="center"/>
    </xf>
    <xf numFmtId="164" fontId="9" fillId="12" borderId="34" xfId="1" applyNumberFormat="1" applyFont="1" applyFill="1" applyBorder="1" applyAlignment="1">
      <alignment horizontal="center"/>
    </xf>
    <xf numFmtId="164" fontId="9" fillId="12" borderId="20" xfId="1" applyNumberFormat="1" applyFont="1" applyFill="1" applyBorder="1" applyAlignment="1">
      <alignment horizontal="center"/>
    </xf>
    <xf numFmtId="9" fontId="8" fillId="0" borderId="1" xfId="2" applyFont="1" applyFill="1" applyBorder="1"/>
    <xf numFmtId="9" fontId="6" fillId="8" borderId="36" xfId="0" applyNumberFormat="1" applyFont="1" applyFill="1" applyBorder="1" applyAlignment="1">
      <alignment vertical="center"/>
    </xf>
    <xf numFmtId="9" fontId="8" fillId="0" borderId="4" xfId="2" applyFont="1" applyFill="1" applyBorder="1"/>
    <xf numFmtId="9" fontId="8" fillId="17" borderId="37" xfId="2" applyFont="1" applyFill="1" applyBorder="1"/>
    <xf numFmtId="0" fontId="3" fillId="0" borderId="22" xfId="0" applyFont="1" applyBorder="1" applyAlignment="1">
      <alignment horizontal="justify" vertical="center"/>
    </xf>
    <xf numFmtId="0" fontId="3" fillId="0" borderId="21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1" fillId="6" borderId="24" xfId="0" applyNumberFormat="1" applyFont="1" applyFill="1" applyBorder="1" applyAlignment="1">
      <alignment horizontal="center" wrapText="1"/>
    </xf>
    <xf numFmtId="44" fontId="1" fillId="6" borderId="25" xfId="0" applyNumberFormat="1" applyFont="1" applyFill="1" applyBorder="1" applyAlignment="1">
      <alignment horizontal="center" wrapText="1"/>
    </xf>
    <xf numFmtId="44" fontId="1" fillId="6" borderId="26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wrapText="1"/>
    </xf>
    <xf numFmtId="0" fontId="7" fillId="9" borderId="0" xfId="0" applyFont="1" applyFill="1" applyBorder="1" applyAlignment="1">
      <alignment horizontal="center" wrapText="1"/>
    </xf>
    <xf numFmtId="0" fontId="7" fillId="14" borderId="28" xfId="0" applyFont="1" applyFill="1" applyBorder="1" applyAlignment="1">
      <alignment horizontal="center" vertical="center"/>
    </xf>
    <xf numFmtId="0" fontId="7" fillId="14" borderId="29" xfId="0" applyFont="1" applyFill="1" applyBorder="1" applyAlignment="1">
      <alignment horizontal="center" vertical="center"/>
    </xf>
    <xf numFmtId="0" fontId="7" fillId="14" borderId="3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ducaci&#243;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"/>
      <sheetName val="Nutrición "/>
      <sheetName val="Multisector"/>
      <sheetName val="Wash"/>
      <sheetName val="Educación "/>
      <sheetName val="Salud"/>
      <sheetName val="Protección"/>
      <sheetName val="Integración"/>
      <sheetName val="Calculo canasta"/>
      <sheetName val="Cálculo del monto"/>
      <sheetName val="Educ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5">
          <cell r="E65"/>
          <cell r="F65">
            <v>17819.935277777779</v>
          </cell>
          <cell r="G65">
            <v>35639.870555555557</v>
          </cell>
          <cell r="H65">
            <v>53459.805833333325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BE848-DC81-4ED1-96C6-7B3B0E302296}">
  <dimension ref="A1:L20"/>
  <sheetViews>
    <sheetView topLeftCell="B1" zoomScale="122" zoomScaleNormal="122" workbookViewId="0">
      <selection activeCell="G5" sqref="G5"/>
    </sheetView>
  </sheetViews>
  <sheetFormatPr defaultColWidth="11.44140625" defaultRowHeight="14.4" x14ac:dyDescent="0.3"/>
  <cols>
    <col min="1" max="1" width="16.5546875" customWidth="1"/>
    <col min="3" max="3" width="12.44140625" bestFit="1" customWidth="1"/>
    <col min="4" max="5" width="16.5546875" customWidth="1"/>
    <col min="6" max="6" width="16.5546875" bestFit="1" customWidth="1"/>
    <col min="7" max="11" width="19.21875" customWidth="1"/>
  </cols>
  <sheetData>
    <row r="1" spans="1:12" ht="42" customHeigh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186</v>
      </c>
    </row>
    <row r="2" spans="1:12" x14ac:dyDescent="0.3">
      <c r="A2" s="8" t="s">
        <v>10</v>
      </c>
      <c r="B2" s="5">
        <v>3530</v>
      </c>
      <c r="C2" s="5">
        <v>35300</v>
      </c>
      <c r="D2" s="6" t="s">
        <v>11</v>
      </c>
      <c r="E2" s="4">
        <v>10</v>
      </c>
      <c r="F2" s="3">
        <v>2567</v>
      </c>
      <c r="G2" s="4">
        <f>J2/4</f>
        <v>6417.5</v>
      </c>
      <c r="H2" s="4">
        <f>J2/2</f>
        <v>12835</v>
      </c>
      <c r="I2" s="4">
        <f>J2/1.333333</f>
        <v>19252.504813126201</v>
      </c>
      <c r="J2" s="4">
        <v>25670</v>
      </c>
      <c r="K2" s="4">
        <f>G2*5</f>
        <v>32087.5</v>
      </c>
    </row>
    <row r="3" spans="1:12" ht="28.2" x14ac:dyDescent="0.3">
      <c r="A3" s="8" t="s">
        <v>12</v>
      </c>
      <c r="B3" s="5">
        <v>3800</v>
      </c>
      <c r="C3" s="5">
        <v>30400</v>
      </c>
      <c r="D3" s="6" t="s">
        <v>11</v>
      </c>
      <c r="E3" s="4">
        <v>8</v>
      </c>
      <c r="F3" s="3">
        <v>3356</v>
      </c>
      <c r="G3" s="4">
        <f t="shared" ref="G3:G19" si="0">J3/4</f>
        <v>6712</v>
      </c>
      <c r="H3" s="4">
        <f t="shared" ref="H3:H19" si="1">J3/2</f>
        <v>13424</v>
      </c>
      <c r="I3" s="4">
        <f t="shared" ref="I3:I19" si="2">J3/1.333333</f>
        <v>20136.005034001257</v>
      </c>
      <c r="J3" s="4">
        <v>26848</v>
      </c>
      <c r="K3" s="4">
        <f t="shared" ref="K3:K19" si="3">G3*5</f>
        <v>33560</v>
      </c>
      <c r="L3" s="1"/>
    </row>
    <row r="4" spans="1:12" x14ac:dyDescent="0.3">
      <c r="A4" s="8" t="s">
        <v>13</v>
      </c>
      <c r="B4" s="5">
        <v>3767</v>
      </c>
      <c r="C4" s="5">
        <v>22600</v>
      </c>
      <c r="D4" s="6" t="s">
        <v>11</v>
      </c>
      <c r="E4" s="4">
        <v>6</v>
      </c>
      <c r="F4" s="3">
        <v>5604</v>
      </c>
      <c r="G4" s="4">
        <f t="shared" si="0"/>
        <v>8406</v>
      </c>
      <c r="H4" s="4">
        <f t="shared" si="1"/>
        <v>16812</v>
      </c>
      <c r="I4" s="4">
        <f t="shared" si="2"/>
        <v>25218.006304501574</v>
      </c>
      <c r="J4" s="4">
        <v>33624</v>
      </c>
      <c r="K4" s="4">
        <f t="shared" si="3"/>
        <v>42030</v>
      </c>
    </row>
    <row r="5" spans="1:12" x14ac:dyDescent="0.3">
      <c r="A5" s="8" t="s">
        <v>14</v>
      </c>
      <c r="B5" s="5">
        <v>1660</v>
      </c>
      <c r="C5" s="5">
        <v>9960</v>
      </c>
      <c r="D5" s="6" t="s">
        <v>11</v>
      </c>
      <c r="E5" s="4">
        <v>6</v>
      </c>
      <c r="F5" s="3">
        <v>1776</v>
      </c>
      <c r="G5" s="4">
        <f t="shared" si="0"/>
        <v>2664</v>
      </c>
      <c r="H5" s="4">
        <f t="shared" si="1"/>
        <v>5328</v>
      </c>
      <c r="I5" s="4">
        <f t="shared" si="2"/>
        <v>7992.001998000499</v>
      </c>
      <c r="J5" s="4">
        <v>10656</v>
      </c>
      <c r="K5" s="4">
        <f t="shared" si="3"/>
        <v>13320</v>
      </c>
    </row>
    <row r="6" spans="1:12" ht="28.2" x14ac:dyDescent="0.3">
      <c r="A6" s="8" t="s">
        <v>15</v>
      </c>
      <c r="B6" s="5">
        <v>800</v>
      </c>
      <c r="C6" s="5">
        <v>4800</v>
      </c>
      <c r="D6" s="6" t="s">
        <v>11</v>
      </c>
      <c r="E6" s="4">
        <v>6</v>
      </c>
      <c r="F6" s="3">
        <v>1724</v>
      </c>
      <c r="G6" s="4">
        <f t="shared" si="0"/>
        <v>2586</v>
      </c>
      <c r="H6" s="4">
        <f t="shared" si="1"/>
        <v>5172</v>
      </c>
      <c r="I6" s="4">
        <f t="shared" si="2"/>
        <v>7758.0019395004847</v>
      </c>
      <c r="J6" s="4">
        <v>10344</v>
      </c>
      <c r="K6" s="4">
        <f t="shared" si="3"/>
        <v>12930</v>
      </c>
    </row>
    <row r="7" spans="1:12" x14ac:dyDescent="0.3">
      <c r="A7" s="8" t="s">
        <v>16</v>
      </c>
      <c r="B7" s="5">
        <v>1526</v>
      </c>
      <c r="C7" s="5">
        <v>7632</v>
      </c>
      <c r="D7" s="6" t="s">
        <v>11</v>
      </c>
      <c r="E7" s="4">
        <v>5</v>
      </c>
      <c r="F7" s="3">
        <v>1405</v>
      </c>
      <c r="G7" s="4">
        <f t="shared" si="0"/>
        <v>1756.25</v>
      </c>
      <c r="H7" s="4">
        <f t="shared" si="1"/>
        <v>3512.5</v>
      </c>
      <c r="I7" s="4">
        <f t="shared" si="2"/>
        <v>5268.751317187829</v>
      </c>
      <c r="J7" s="4">
        <v>7025</v>
      </c>
      <c r="K7" s="4">
        <f t="shared" si="3"/>
        <v>8781.25</v>
      </c>
    </row>
    <row r="8" spans="1:12" ht="28.2" x14ac:dyDescent="0.3">
      <c r="A8" s="8" t="s">
        <v>17</v>
      </c>
      <c r="B8" s="5">
        <v>9000</v>
      </c>
      <c r="C8" s="5">
        <v>18000</v>
      </c>
      <c r="D8" s="6" t="s">
        <v>18</v>
      </c>
      <c r="E8" s="4">
        <v>2</v>
      </c>
      <c r="F8" s="3">
        <v>8007</v>
      </c>
      <c r="G8" s="4">
        <f t="shared" si="0"/>
        <v>4003.5</v>
      </c>
      <c r="H8" s="4">
        <f t="shared" si="1"/>
        <v>8007</v>
      </c>
      <c r="I8" s="4">
        <f t="shared" si="2"/>
        <v>12010.50300262575</v>
      </c>
      <c r="J8" s="4">
        <v>16014</v>
      </c>
      <c r="K8" s="4">
        <f t="shared" si="3"/>
        <v>20017.5</v>
      </c>
    </row>
    <row r="9" spans="1:12" x14ac:dyDescent="0.3">
      <c r="A9" s="8" t="s">
        <v>19</v>
      </c>
      <c r="B9" s="5">
        <v>1490</v>
      </c>
      <c r="C9" s="5">
        <v>11920</v>
      </c>
      <c r="D9" s="6" t="s">
        <v>20</v>
      </c>
      <c r="E9" s="4">
        <v>8</v>
      </c>
      <c r="F9" s="3">
        <v>11302</v>
      </c>
      <c r="G9" s="4">
        <f t="shared" si="0"/>
        <v>11302</v>
      </c>
      <c r="H9" s="4">
        <f t="shared" si="1"/>
        <v>22604</v>
      </c>
      <c r="I9" s="4">
        <f t="shared" si="2"/>
        <v>33906.008476502117</v>
      </c>
      <c r="J9" s="4">
        <v>45208</v>
      </c>
      <c r="K9" s="4">
        <f t="shared" si="3"/>
        <v>56510</v>
      </c>
    </row>
    <row r="10" spans="1:12" x14ac:dyDescent="0.3">
      <c r="A10" s="8" t="s">
        <v>21</v>
      </c>
      <c r="B10" s="5">
        <v>1660</v>
      </c>
      <c r="C10" s="5">
        <v>8300</v>
      </c>
      <c r="D10" s="6" t="s">
        <v>11</v>
      </c>
      <c r="E10" s="4">
        <v>5</v>
      </c>
      <c r="F10" s="3">
        <v>12165</v>
      </c>
      <c r="G10" s="4">
        <f t="shared" si="0"/>
        <v>15206.25</v>
      </c>
      <c r="H10" s="4">
        <f t="shared" si="1"/>
        <v>30412.5</v>
      </c>
      <c r="I10" s="4">
        <f t="shared" si="2"/>
        <v>45618.761404690347</v>
      </c>
      <c r="J10" s="4">
        <v>60825</v>
      </c>
      <c r="K10" s="4">
        <f t="shared" si="3"/>
        <v>76031.25</v>
      </c>
    </row>
    <row r="11" spans="1:12" x14ac:dyDescent="0.3">
      <c r="A11" s="8" t="s">
        <v>22</v>
      </c>
      <c r="B11" s="5">
        <v>1250</v>
      </c>
      <c r="C11" s="5">
        <v>1625</v>
      </c>
      <c r="D11" s="6" t="s">
        <v>23</v>
      </c>
      <c r="E11" s="4">
        <v>1</v>
      </c>
      <c r="F11" s="3">
        <v>24590</v>
      </c>
      <c r="G11" s="4">
        <f t="shared" si="0"/>
        <v>7991.75</v>
      </c>
      <c r="H11" s="4">
        <f t="shared" si="1"/>
        <v>15983.5</v>
      </c>
      <c r="I11" s="4">
        <f t="shared" si="2"/>
        <v>23975.255993813997</v>
      </c>
      <c r="J11" s="4">
        <v>31967</v>
      </c>
      <c r="K11" s="4">
        <f t="shared" si="3"/>
        <v>39958.75</v>
      </c>
    </row>
    <row r="12" spans="1:12" ht="28.2" x14ac:dyDescent="0.3">
      <c r="A12" s="8" t="s">
        <v>24</v>
      </c>
      <c r="B12" s="5">
        <v>4990</v>
      </c>
      <c r="C12" s="5">
        <v>49900</v>
      </c>
      <c r="D12" s="6" t="s">
        <v>18</v>
      </c>
      <c r="E12" s="4">
        <v>10</v>
      </c>
      <c r="F12" s="3">
        <v>2930</v>
      </c>
      <c r="G12" s="4">
        <f t="shared" si="0"/>
        <v>7325</v>
      </c>
      <c r="H12" s="4">
        <f t="shared" si="1"/>
        <v>14650</v>
      </c>
      <c r="I12" s="4">
        <f t="shared" si="2"/>
        <v>21975.005493751371</v>
      </c>
      <c r="J12" s="4">
        <v>29300</v>
      </c>
      <c r="K12" s="4">
        <f t="shared" si="3"/>
        <v>36625</v>
      </c>
    </row>
    <row r="13" spans="1:12" x14ac:dyDescent="0.3">
      <c r="A13" s="8" t="s">
        <v>25</v>
      </c>
      <c r="B13" s="5">
        <v>3860</v>
      </c>
      <c r="C13" s="5">
        <v>15440</v>
      </c>
      <c r="D13" s="6" t="s">
        <v>11</v>
      </c>
      <c r="E13" s="4">
        <v>4</v>
      </c>
      <c r="F13" s="3">
        <v>5120</v>
      </c>
      <c r="G13" s="4">
        <f t="shared" si="0"/>
        <v>5120</v>
      </c>
      <c r="H13" s="4">
        <f t="shared" si="1"/>
        <v>10240</v>
      </c>
      <c r="I13" s="4">
        <f t="shared" si="2"/>
        <v>15360.003840000958</v>
      </c>
      <c r="J13" s="4">
        <v>20480</v>
      </c>
      <c r="K13" s="4">
        <f t="shared" si="3"/>
        <v>25600</v>
      </c>
    </row>
    <row r="14" spans="1:12" ht="28.2" x14ac:dyDescent="0.3">
      <c r="A14" s="8" t="s">
        <v>26</v>
      </c>
      <c r="B14" s="5">
        <v>3010</v>
      </c>
      <c r="C14" s="5">
        <v>9030</v>
      </c>
      <c r="D14" s="6" t="s">
        <v>11</v>
      </c>
      <c r="E14" s="4">
        <v>3</v>
      </c>
      <c r="F14" s="3">
        <v>15167</v>
      </c>
      <c r="G14" s="4">
        <f t="shared" si="0"/>
        <v>11375.25</v>
      </c>
      <c r="H14" s="4">
        <f t="shared" si="1"/>
        <v>22750.5</v>
      </c>
      <c r="I14" s="4">
        <f t="shared" si="2"/>
        <v>34125.758531439627</v>
      </c>
      <c r="J14" s="4">
        <v>45501</v>
      </c>
      <c r="K14" s="4">
        <f t="shared" si="3"/>
        <v>56876.25</v>
      </c>
    </row>
    <row r="15" spans="1:12" x14ac:dyDescent="0.3">
      <c r="A15" s="8" t="s">
        <v>27</v>
      </c>
      <c r="B15" s="5">
        <v>230</v>
      </c>
      <c r="C15" s="5">
        <v>2760</v>
      </c>
      <c r="D15" s="6" t="s">
        <v>11</v>
      </c>
      <c r="E15" s="4">
        <v>12</v>
      </c>
      <c r="F15" s="3">
        <v>2117</v>
      </c>
      <c r="G15" s="4">
        <f t="shared" si="0"/>
        <v>6351</v>
      </c>
      <c r="H15" s="4">
        <f t="shared" si="1"/>
        <v>12702</v>
      </c>
      <c r="I15" s="4">
        <f t="shared" si="2"/>
        <v>19053.004763251189</v>
      </c>
      <c r="J15" s="4">
        <v>25404</v>
      </c>
      <c r="K15" s="4">
        <f t="shared" si="3"/>
        <v>31755</v>
      </c>
    </row>
    <row r="16" spans="1:12" x14ac:dyDescent="0.3">
      <c r="A16" s="8" t="s">
        <v>28</v>
      </c>
      <c r="B16" s="5">
        <v>470</v>
      </c>
      <c r="C16" s="5">
        <v>5640</v>
      </c>
      <c r="D16" s="6" t="s">
        <v>11</v>
      </c>
      <c r="E16" s="4">
        <v>12</v>
      </c>
      <c r="F16" s="3">
        <v>1698</v>
      </c>
      <c r="G16" s="4">
        <f t="shared" si="0"/>
        <v>5094</v>
      </c>
      <c r="H16" s="4">
        <f t="shared" si="1"/>
        <v>10188</v>
      </c>
      <c r="I16" s="4">
        <f t="shared" si="2"/>
        <v>15282.003820500953</v>
      </c>
      <c r="J16" s="4">
        <v>20376</v>
      </c>
      <c r="K16" s="4">
        <f t="shared" si="3"/>
        <v>25470</v>
      </c>
    </row>
    <row r="17" spans="1:11" x14ac:dyDescent="0.3">
      <c r="A17" s="8" t="s">
        <v>29</v>
      </c>
      <c r="B17" s="5">
        <v>71</v>
      </c>
      <c r="C17" s="5">
        <v>568</v>
      </c>
      <c r="D17" s="6" t="s">
        <v>11</v>
      </c>
      <c r="E17" s="4">
        <v>8</v>
      </c>
      <c r="F17" s="3">
        <v>1476</v>
      </c>
      <c r="G17" s="4">
        <f t="shared" si="0"/>
        <v>2952</v>
      </c>
      <c r="H17" s="4">
        <f t="shared" si="1"/>
        <v>5904</v>
      </c>
      <c r="I17" s="4">
        <f t="shared" si="2"/>
        <v>8856.0022140005531</v>
      </c>
      <c r="J17" s="4">
        <v>11808</v>
      </c>
      <c r="K17" s="4">
        <f t="shared" si="3"/>
        <v>14760</v>
      </c>
    </row>
    <row r="18" spans="1:11" x14ac:dyDescent="0.3">
      <c r="A18" s="9" t="s">
        <v>30</v>
      </c>
      <c r="B18" s="5">
        <v>3970</v>
      </c>
      <c r="C18" s="5">
        <v>15880</v>
      </c>
      <c r="D18" s="7" t="s">
        <v>11</v>
      </c>
      <c r="E18" s="25">
        <v>4</v>
      </c>
      <c r="F18" s="3">
        <v>3018</v>
      </c>
      <c r="G18" s="4">
        <f t="shared" si="0"/>
        <v>3018</v>
      </c>
      <c r="H18" s="4">
        <f t="shared" si="1"/>
        <v>6036</v>
      </c>
      <c r="I18" s="4">
        <f t="shared" si="2"/>
        <v>9054.0022635005644</v>
      </c>
      <c r="J18" s="4">
        <v>12072</v>
      </c>
      <c r="K18" s="4">
        <f t="shared" si="3"/>
        <v>15090</v>
      </c>
    </row>
    <row r="19" spans="1:11" x14ac:dyDescent="0.3">
      <c r="A19" s="9" t="s">
        <v>31</v>
      </c>
      <c r="B19" s="5">
        <v>0</v>
      </c>
      <c r="C19" s="5">
        <v>0</v>
      </c>
      <c r="D19" s="7" t="s">
        <v>11</v>
      </c>
      <c r="E19" s="7">
        <v>0</v>
      </c>
      <c r="F19" s="4">
        <v>1600</v>
      </c>
      <c r="G19" s="4">
        <f t="shared" si="0"/>
        <v>400</v>
      </c>
      <c r="H19" s="4">
        <f t="shared" si="1"/>
        <v>800</v>
      </c>
      <c r="I19" s="4">
        <f t="shared" si="2"/>
        <v>1200.000300000075</v>
      </c>
      <c r="J19" s="4">
        <v>1600</v>
      </c>
      <c r="K19" s="4">
        <f t="shared" si="3"/>
        <v>2000</v>
      </c>
    </row>
    <row r="20" spans="1:11" ht="28.2" x14ac:dyDescent="0.3">
      <c r="A20" s="17" t="s">
        <v>32</v>
      </c>
      <c r="B20" s="18"/>
      <c r="C20" s="18"/>
      <c r="D20" s="18"/>
      <c r="E20" s="18"/>
      <c r="F20" s="91">
        <f t="shared" ref="F20:K20" si="4">+SUM(F2:F19)</f>
        <v>105622</v>
      </c>
      <c r="G20" s="92">
        <f t="shared" si="4"/>
        <v>108680.5</v>
      </c>
      <c r="H20" s="92">
        <f t="shared" si="4"/>
        <v>217361</v>
      </c>
      <c r="I20" s="92">
        <f t="shared" si="4"/>
        <v>326041.58151039534</v>
      </c>
      <c r="J20" s="92">
        <f t="shared" si="4"/>
        <v>434722</v>
      </c>
      <c r="K20" s="92">
        <f t="shared" si="4"/>
        <v>543402.5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D8B0-FEF7-4276-9408-899403915883}">
  <dimension ref="A1:F33"/>
  <sheetViews>
    <sheetView tabSelected="1" zoomScale="130" zoomScaleNormal="130" workbookViewId="0">
      <selection activeCell="D27" sqref="D27"/>
    </sheetView>
  </sheetViews>
  <sheetFormatPr defaultRowHeight="14.4" x14ac:dyDescent="0.3"/>
  <cols>
    <col min="1" max="1" width="62.21875" customWidth="1"/>
    <col min="2" max="2" width="17.6640625" customWidth="1"/>
    <col min="3" max="3" width="19" customWidth="1"/>
    <col min="4" max="4" width="20.88671875" customWidth="1"/>
    <col min="5" max="5" width="19.5546875" customWidth="1"/>
    <col min="6" max="6" width="20.77734375" hidden="1" customWidth="1"/>
  </cols>
  <sheetData>
    <row r="1" spans="1:6" ht="15" thickBot="1" x14ac:dyDescent="0.35">
      <c r="A1" s="150" t="s">
        <v>145</v>
      </c>
      <c r="B1" s="151"/>
      <c r="C1" s="151"/>
      <c r="D1" s="151"/>
      <c r="E1" s="151"/>
      <c r="F1" s="151"/>
    </row>
    <row r="2" spans="1:6" ht="28.2" thickBot="1" x14ac:dyDescent="0.35">
      <c r="A2" s="52" t="s">
        <v>146</v>
      </c>
      <c r="B2" s="52" t="s">
        <v>147</v>
      </c>
      <c r="C2" s="52" t="s">
        <v>148</v>
      </c>
      <c r="D2" s="52" t="s">
        <v>149</v>
      </c>
      <c r="E2" s="52" t="s">
        <v>150</v>
      </c>
      <c r="F2" s="52" t="s">
        <v>193</v>
      </c>
    </row>
    <row r="3" spans="1:6" ht="15" thickBot="1" x14ac:dyDescent="0.35">
      <c r="A3" s="53" t="s">
        <v>262</v>
      </c>
      <c r="B3" s="54">
        <f>+SA!G20</f>
        <v>108680.5</v>
      </c>
      <c r="C3" s="54">
        <f>+SA!H20</f>
        <v>217361</v>
      </c>
      <c r="D3" s="54">
        <f>+SA!I20</f>
        <v>326041.58151039534</v>
      </c>
      <c r="E3" s="54">
        <f>+SA!J20</f>
        <v>434722</v>
      </c>
      <c r="F3" s="54">
        <f>+SA!K20</f>
        <v>543402.5</v>
      </c>
    </row>
    <row r="4" spans="1:6" ht="15" thickBot="1" x14ac:dyDescent="0.35">
      <c r="A4" s="53" t="s">
        <v>152</v>
      </c>
      <c r="B4" s="54">
        <f>+Alojamiento!E10</f>
        <v>521979.16666666669</v>
      </c>
      <c r="C4" s="54">
        <f>+Alojamiento!F10</f>
        <v>554479.16666666663</v>
      </c>
      <c r="D4" s="54">
        <f>+Alojamiento!G10</f>
        <v>575729.16666666663</v>
      </c>
      <c r="E4" s="54">
        <f>+Alojamiento!H10</f>
        <v>602979.16666666663</v>
      </c>
      <c r="F4" s="54">
        <f>+Alojamiento!I10</f>
        <v>625479.16666666663</v>
      </c>
    </row>
    <row r="5" spans="1:6" ht="15" thickBot="1" x14ac:dyDescent="0.35">
      <c r="A5" s="53" t="s">
        <v>261</v>
      </c>
      <c r="B5" s="54">
        <f>+Wash!E36</f>
        <v>121313.83333333333</v>
      </c>
      <c r="C5" s="54">
        <f>+Wash!F36</f>
        <v>223305.66666666663</v>
      </c>
      <c r="D5" s="54">
        <f>+Wash!G36</f>
        <v>288839.5</v>
      </c>
      <c r="E5" s="54">
        <f>+Wash!H36</f>
        <v>363528.66666666669</v>
      </c>
      <c r="F5" s="54">
        <f>+Wash!I36</f>
        <v>424943.16666666669</v>
      </c>
    </row>
    <row r="6" spans="1:6" ht="15" thickBot="1" x14ac:dyDescent="0.35">
      <c r="A6" s="53" t="s">
        <v>154</v>
      </c>
      <c r="B6" s="54" t="s">
        <v>245</v>
      </c>
      <c r="C6" s="54">
        <f>+'[1]Educación '!F65</f>
        <v>17819.935277777779</v>
      </c>
      <c r="D6" s="54">
        <f>+'[1]Educación '!G65</f>
        <v>35639.870555555557</v>
      </c>
      <c r="E6" s="54">
        <f>+'[1]Educación '!G65</f>
        <v>35639.870555555557</v>
      </c>
      <c r="F6" s="54">
        <f>+'[1]Educación '!H65</f>
        <v>53459.805833333325</v>
      </c>
    </row>
    <row r="7" spans="1:6" ht="15" thickBot="1" x14ac:dyDescent="0.35">
      <c r="A7" s="53" t="s">
        <v>155</v>
      </c>
      <c r="B7" s="54">
        <f>+Salud!F11</f>
        <v>117615.66666666666</v>
      </c>
      <c r="C7" s="54">
        <f>+Salud!G11</f>
        <v>189653.16666666666</v>
      </c>
      <c r="D7" s="54">
        <f>+Salud!H11</f>
        <v>226789.33333333334</v>
      </c>
      <c r="E7" s="54">
        <f>+Salud!I11</f>
        <v>263826.83333333337</v>
      </c>
      <c r="F7" s="54">
        <f>+Salud!J11</f>
        <v>298826.83333333337</v>
      </c>
    </row>
    <row r="8" spans="1:6" ht="15" thickBot="1" x14ac:dyDescent="0.35">
      <c r="A8" s="53" t="s">
        <v>156</v>
      </c>
      <c r="B8" s="54">
        <f>+Protección!D5</f>
        <v>9943.4722222222226</v>
      </c>
      <c r="C8" s="54">
        <f>+Protección!E5</f>
        <v>20118.425925925927</v>
      </c>
      <c r="D8" s="54">
        <f>+Protección!F5</f>
        <v>24516.574074074073</v>
      </c>
      <c r="E8" s="54">
        <f>+Protección!G5</f>
        <v>28683.240740740745</v>
      </c>
      <c r="F8" s="54">
        <f>+Protección!H5</f>
        <v>33081.388888888891</v>
      </c>
    </row>
    <row r="9" spans="1:6" ht="15" thickBot="1" x14ac:dyDescent="0.35">
      <c r="A9" s="53" t="s">
        <v>260</v>
      </c>
      <c r="B9" s="54">
        <f>+Integración!B3</f>
        <v>57600</v>
      </c>
      <c r="C9" s="54">
        <f>+Integración!B3</f>
        <v>57600</v>
      </c>
      <c r="D9" s="54">
        <f>+Integración!C3</f>
        <v>115200</v>
      </c>
      <c r="E9" s="54">
        <f>+Integración!C3</f>
        <v>115200</v>
      </c>
      <c r="F9" s="54">
        <f>+Integración!C3</f>
        <v>115200</v>
      </c>
    </row>
    <row r="10" spans="1:6" ht="15" thickBot="1" x14ac:dyDescent="0.35">
      <c r="A10" s="55" t="s">
        <v>158</v>
      </c>
      <c r="B10" s="56">
        <f>SUM(B3:B9)</f>
        <v>937132.63888888899</v>
      </c>
      <c r="C10" s="56">
        <f>SUM(C3:C9)</f>
        <v>1280337.3612037036</v>
      </c>
      <c r="D10" s="56">
        <f>SUM(D3:D9)</f>
        <v>1592756.0261400249</v>
      </c>
      <c r="E10" s="102">
        <f>+SUM(E3:E9)</f>
        <v>1844579.7779629626</v>
      </c>
      <c r="F10" s="102">
        <f>+SUM(F3:F9)</f>
        <v>2094392.8613888891</v>
      </c>
    </row>
    <row r="11" spans="1:6" x14ac:dyDescent="0.3">
      <c r="A11" s="58" t="s">
        <v>234</v>
      </c>
      <c r="B11" s="59">
        <v>450000</v>
      </c>
      <c r="C11" s="59">
        <v>450000</v>
      </c>
      <c r="D11" s="59">
        <v>450000</v>
      </c>
      <c r="E11" s="60">
        <v>450000</v>
      </c>
      <c r="F11" s="60">
        <v>450000</v>
      </c>
    </row>
    <row r="12" spans="1:6" ht="15" thickBot="1" x14ac:dyDescent="0.35">
      <c r="A12" s="58" t="s">
        <v>238</v>
      </c>
      <c r="B12" s="108">
        <f>+$B$10-B11</f>
        <v>487132.63888888899</v>
      </c>
      <c r="C12" s="108">
        <f>+$C$10-C11</f>
        <v>830337.36120370356</v>
      </c>
      <c r="D12" s="108">
        <f>+$D$10-D11</f>
        <v>1142756.0261400249</v>
      </c>
      <c r="E12" s="109">
        <f>+$E$10-E11</f>
        <v>1394579.7779629626</v>
      </c>
      <c r="F12" s="109">
        <f>+$F$10-F11</f>
        <v>1644392.8613888891</v>
      </c>
    </row>
    <row r="13" spans="1:6" hidden="1" x14ac:dyDescent="0.3">
      <c r="A13" s="104">
        <v>0.6</v>
      </c>
      <c r="B13" s="63">
        <v>0.6</v>
      </c>
      <c r="C13" s="63">
        <v>0.6</v>
      </c>
      <c r="D13" s="63">
        <v>0.6</v>
      </c>
      <c r="E13" s="63">
        <v>0.6</v>
      </c>
      <c r="F13" s="63">
        <v>0.6</v>
      </c>
    </row>
    <row r="14" spans="1:6" hidden="1" x14ac:dyDescent="0.3">
      <c r="A14" s="104">
        <v>0.5</v>
      </c>
      <c r="B14" s="63">
        <v>0.5</v>
      </c>
      <c r="C14" s="63">
        <v>0.5</v>
      </c>
      <c r="D14" s="63">
        <v>0.5</v>
      </c>
      <c r="E14" s="63">
        <v>0.5</v>
      </c>
      <c r="F14" s="63">
        <v>0.5</v>
      </c>
    </row>
    <row r="15" spans="1:6" hidden="1" x14ac:dyDescent="0.3">
      <c r="A15" s="104">
        <v>0.45</v>
      </c>
      <c r="B15" s="104">
        <v>0.45</v>
      </c>
      <c r="C15" s="104">
        <v>0.45</v>
      </c>
      <c r="D15" s="104">
        <v>0.45</v>
      </c>
      <c r="E15" s="104">
        <v>0.45</v>
      </c>
      <c r="F15" s="63"/>
    </row>
    <row r="16" spans="1:6" hidden="1" x14ac:dyDescent="0.3">
      <c r="A16" s="104">
        <v>0.4</v>
      </c>
      <c r="B16" s="63">
        <v>0.4</v>
      </c>
      <c r="C16" s="63">
        <v>0.4</v>
      </c>
      <c r="D16" s="63">
        <v>0.4</v>
      </c>
      <c r="E16" s="63">
        <v>0.4</v>
      </c>
      <c r="F16" s="63">
        <v>0.4</v>
      </c>
    </row>
    <row r="17" spans="1:6" hidden="1" x14ac:dyDescent="0.3">
      <c r="A17" s="104">
        <v>0.33</v>
      </c>
      <c r="B17" s="63">
        <v>0.33</v>
      </c>
      <c r="C17" s="63">
        <v>0.33</v>
      </c>
      <c r="D17" s="63">
        <v>0.33</v>
      </c>
      <c r="E17" s="63">
        <v>0.33</v>
      </c>
      <c r="F17" s="63">
        <v>0.33</v>
      </c>
    </row>
    <row r="18" spans="1:6" hidden="1" x14ac:dyDescent="0.3">
      <c r="A18" s="104">
        <v>0.3</v>
      </c>
      <c r="B18" s="63">
        <v>0.3</v>
      </c>
      <c r="C18" s="63">
        <v>0.3</v>
      </c>
      <c r="D18" s="63">
        <v>0.3</v>
      </c>
      <c r="E18" s="63">
        <v>0.3</v>
      </c>
      <c r="F18" s="63">
        <v>0.3</v>
      </c>
    </row>
    <row r="19" spans="1:6" x14ac:dyDescent="0.3">
      <c r="A19" s="152" t="s">
        <v>258</v>
      </c>
      <c r="B19" s="153"/>
      <c r="C19" s="153"/>
      <c r="D19" s="153"/>
      <c r="E19" s="154"/>
      <c r="F19" s="63"/>
    </row>
    <row r="20" spans="1:6" x14ac:dyDescent="0.3">
      <c r="A20" s="107" t="s">
        <v>248</v>
      </c>
      <c r="B20" s="105">
        <f>+B12*$B$13</f>
        <v>292279.58333333337</v>
      </c>
      <c r="C20" s="105">
        <f>+C12*$C$13</f>
        <v>498202.41672222211</v>
      </c>
      <c r="D20" s="105">
        <f>+D12*$D$13</f>
        <v>685653.61568401486</v>
      </c>
      <c r="E20" s="129">
        <f>+E12*$E$13</f>
        <v>836747.86677777756</v>
      </c>
      <c r="F20" s="128">
        <f>+F12*$F$13</f>
        <v>986635.71683333348</v>
      </c>
    </row>
    <row r="21" spans="1:6" x14ac:dyDescent="0.3">
      <c r="A21" s="107" t="s">
        <v>246</v>
      </c>
      <c r="B21" s="105">
        <f>$B$12*B14</f>
        <v>243566.3194444445</v>
      </c>
      <c r="C21" s="105">
        <f>$C$12*C14</f>
        <v>415168.68060185178</v>
      </c>
      <c r="D21" s="105">
        <f>$D$12*D14</f>
        <v>571378.01307001244</v>
      </c>
      <c r="E21" s="129">
        <f>$E$12*E14</f>
        <v>697289.88898148132</v>
      </c>
      <c r="F21" s="105">
        <f>$F$12*F14</f>
        <v>822196.43069444457</v>
      </c>
    </row>
    <row r="22" spans="1:6" x14ac:dyDescent="0.3">
      <c r="A22" s="107" t="s">
        <v>257</v>
      </c>
      <c r="B22" s="105">
        <f>$B$12*B15</f>
        <v>219209.68750000006</v>
      </c>
      <c r="C22" s="105">
        <f>$C$12*C15</f>
        <v>373651.81254166662</v>
      </c>
      <c r="D22" s="105">
        <f>$D$12*D15</f>
        <v>514240.21176301123</v>
      </c>
      <c r="E22" s="129">
        <f>$E$12*E15</f>
        <v>627560.90008333325</v>
      </c>
      <c r="F22" s="105"/>
    </row>
    <row r="23" spans="1:6" ht="15" thickBot="1" x14ac:dyDescent="0.35">
      <c r="A23" s="130" t="s">
        <v>247</v>
      </c>
      <c r="B23" s="131">
        <f>$B$12*0.43</f>
        <v>209467.03472222228</v>
      </c>
      <c r="C23" s="131">
        <f>$C$12*C16</f>
        <v>332134.94448148145</v>
      </c>
      <c r="D23" s="131">
        <f>$D$12*D16</f>
        <v>457102.41045600997</v>
      </c>
      <c r="E23" s="132">
        <f>$E$12*E16</f>
        <v>557831.91118518508</v>
      </c>
      <c r="F23" s="105">
        <f>$F$12*F16</f>
        <v>657757.14455555566</v>
      </c>
    </row>
    <row r="24" spans="1:6" x14ac:dyDescent="0.3">
      <c r="A24" s="152" t="s">
        <v>259</v>
      </c>
      <c r="B24" s="153"/>
      <c r="C24" s="153"/>
      <c r="D24" s="153"/>
      <c r="E24" s="153"/>
      <c r="F24" s="154"/>
    </row>
    <row r="25" spans="1:6" x14ac:dyDescent="0.3">
      <c r="A25" s="112" t="s">
        <v>251</v>
      </c>
      <c r="B25" s="113">
        <v>190000</v>
      </c>
      <c r="C25" s="113">
        <v>280000</v>
      </c>
      <c r="D25" s="113">
        <v>330000</v>
      </c>
      <c r="E25" s="113">
        <v>370000</v>
      </c>
      <c r="F25" s="114">
        <v>370000</v>
      </c>
    </row>
    <row r="26" spans="1:6" x14ac:dyDescent="0.3">
      <c r="A26" s="110" t="s">
        <v>248</v>
      </c>
      <c r="B26" s="115">
        <f>(B20-$B$25)/$B$25</f>
        <v>0.53831359649122823</v>
      </c>
      <c r="C26" s="115">
        <f>(C20-$C$25)/$C$25</f>
        <v>0.77929434543650755</v>
      </c>
      <c r="D26" s="115">
        <f>(D20-$D$25)/$D$25</f>
        <v>1.0777382293454996</v>
      </c>
      <c r="E26" s="115">
        <f>(E20-$E$25)/$E$25</f>
        <v>1.2614807210210204</v>
      </c>
      <c r="F26" s="116">
        <f>(F20-$F$25)/$F$25</f>
        <v>1.6665830184684689</v>
      </c>
    </row>
    <row r="27" spans="1:6" x14ac:dyDescent="0.3">
      <c r="A27" s="110" t="s">
        <v>246</v>
      </c>
      <c r="B27" s="115">
        <f>(B21-$B$25)/$B$25</f>
        <v>0.28192799707602367</v>
      </c>
      <c r="C27" s="115">
        <f>(C21-$C$25)/$C$25</f>
        <v>0.48274528786375637</v>
      </c>
      <c r="D27" s="115">
        <f>(D21-$D$25)/$D$25</f>
        <v>0.73144852445458319</v>
      </c>
      <c r="E27" s="115">
        <f>(E21-$E$25)/$E$25</f>
        <v>0.88456726751751702</v>
      </c>
      <c r="F27" s="116">
        <f>(F21-$F$25)/$F$25</f>
        <v>1.2221525153903907</v>
      </c>
    </row>
    <row r="28" spans="1:6" x14ac:dyDescent="0.3">
      <c r="A28" s="110" t="s">
        <v>257</v>
      </c>
      <c r="B28" s="133">
        <f>(B22-$B$25)/$B$25</f>
        <v>0.15373519736842137</v>
      </c>
      <c r="C28" s="133">
        <f>(C22-$C$25)/$C$25</f>
        <v>0.33447075907738077</v>
      </c>
      <c r="D28" s="133">
        <f>(D22-$D$25)/$D$25</f>
        <v>0.5583036720091249</v>
      </c>
      <c r="E28" s="133">
        <f>(E22-$E$25)/$E$25</f>
        <v>0.69611054076576551</v>
      </c>
      <c r="F28" s="116"/>
    </row>
    <row r="29" spans="1:6" ht="15" thickBot="1" x14ac:dyDescent="0.35">
      <c r="A29" s="134" t="s">
        <v>247</v>
      </c>
      <c r="B29" s="135">
        <f>(B23-$B$25)/$B$25</f>
        <v>0.10245807748538041</v>
      </c>
      <c r="C29" s="135">
        <f>(C23-$C$25)/$C$25</f>
        <v>0.18619623029100518</v>
      </c>
      <c r="D29" s="135">
        <f>(D23-$D$25)/$D$25</f>
        <v>0.38515881956366654</v>
      </c>
      <c r="E29" s="135">
        <f>(E23-$E$25)/$E$25</f>
        <v>0.50765381401401377</v>
      </c>
      <c r="F29" s="136">
        <f>(F23-$F$25)/$F$25</f>
        <v>0.77772201231231264</v>
      </c>
    </row>
    <row r="30" spans="1:6" x14ac:dyDescent="0.3">
      <c r="A30" s="152" t="s">
        <v>256</v>
      </c>
      <c r="B30" s="153"/>
      <c r="C30" s="153"/>
      <c r="D30" s="153"/>
      <c r="E30" s="153"/>
      <c r="F30" s="154"/>
    </row>
    <row r="31" spans="1:6" x14ac:dyDescent="0.3">
      <c r="A31" s="111" t="s">
        <v>255</v>
      </c>
      <c r="B31" s="120">
        <v>487132.63888888899</v>
      </c>
      <c r="C31" s="120">
        <v>830337.36120370356</v>
      </c>
      <c r="D31" s="120">
        <v>1142756.0261400249</v>
      </c>
      <c r="E31" s="120">
        <v>1394579.7779629626</v>
      </c>
      <c r="F31" s="121">
        <v>1644392.8613888891</v>
      </c>
    </row>
    <row r="32" spans="1:6" x14ac:dyDescent="0.3">
      <c r="A32" s="122" t="s">
        <v>251</v>
      </c>
      <c r="B32" s="123">
        <v>190000</v>
      </c>
      <c r="C32" s="123">
        <v>280000</v>
      </c>
      <c r="D32" s="123">
        <v>330000</v>
      </c>
      <c r="E32" s="123">
        <v>370000</v>
      </c>
      <c r="F32" s="124">
        <v>370000</v>
      </c>
    </row>
    <row r="33" spans="1:6" ht="15" thickBot="1" x14ac:dyDescent="0.35">
      <c r="A33" s="125" t="s">
        <v>254</v>
      </c>
      <c r="B33" s="126">
        <f>B32/B31</f>
        <v>0.3900375068962223</v>
      </c>
      <c r="C33" s="126">
        <f>C32/C31</f>
        <v>0.33721233450714094</v>
      </c>
      <c r="D33" s="126">
        <f>D32/D31</f>
        <v>0.28877555003115268</v>
      </c>
      <c r="E33" s="126">
        <f>E32/E31</f>
        <v>0.26531289629084703</v>
      </c>
      <c r="F33" s="127">
        <f>F32/F31</f>
        <v>0.22500705803811999</v>
      </c>
    </row>
  </sheetData>
  <mergeCells count="4">
    <mergeCell ref="A1:F1"/>
    <mergeCell ref="A24:F24"/>
    <mergeCell ref="A30:F30"/>
    <mergeCell ref="A19:E19"/>
  </mergeCells>
  <conditionalFormatting sqref="F3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:F2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2E569-E1C5-4DE3-B727-1FC82B097981}">
  <dimension ref="A1:N55"/>
  <sheetViews>
    <sheetView zoomScale="102" zoomScaleNormal="102" workbookViewId="0">
      <selection activeCell="C41" sqref="C41"/>
    </sheetView>
  </sheetViews>
  <sheetFormatPr defaultColWidth="11.5546875" defaultRowHeight="14.4" x14ac:dyDescent="0.3"/>
  <cols>
    <col min="1" max="1" width="38.77734375" customWidth="1"/>
    <col min="2" max="2" width="20.44140625" customWidth="1"/>
    <col min="3" max="3" width="32.44140625" customWidth="1"/>
    <col min="4" max="4" width="24" bestFit="1" customWidth="1"/>
    <col min="5" max="5" width="26.77734375" bestFit="1" customWidth="1"/>
    <col min="6" max="6" width="26.77734375" customWidth="1"/>
  </cols>
  <sheetData>
    <row r="1" spans="1:14" ht="15" thickBot="1" x14ac:dyDescent="0.35">
      <c r="A1" s="150" t="s">
        <v>145</v>
      </c>
      <c r="B1" s="151"/>
      <c r="C1" s="151"/>
      <c r="D1" s="151"/>
      <c r="E1" s="151"/>
      <c r="F1" s="151"/>
    </row>
    <row r="2" spans="1:14" ht="42" customHeight="1" thickBot="1" x14ac:dyDescent="0.35">
      <c r="A2" s="52" t="s">
        <v>146</v>
      </c>
      <c r="B2" s="52" t="s">
        <v>147</v>
      </c>
      <c r="C2" s="52" t="s">
        <v>148</v>
      </c>
      <c r="D2" s="52" t="s">
        <v>149</v>
      </c>
      <c r="E2" s="52" t="s">
        <v>150</v>
      </c>
      <c r="F2" s="52" t="s">
        <v>193</v>
      </c>
    </row>
    <row r="3" spans="1:14" ht="15" hidden="1" thickBot="1" x14ac:dyDescent="0.35">
      <c r="A3" s="53" t="s">
        <v>151</v>
      </c>
      <c r="B3" s="54">
        <f>+SA!G20</f>
        <v>108680.5</v>
      </c>
      <c r="C3" s="54">
        <f>+SA!H20</f>
        <v>217361</v>
      </c>
      <c r="D3" s="54">
        <f>+SA!I20</f>
        <v>326041.58151039534</v>
      </c>
      <c r="E3" s="54">
        <f>+SA!J20</f>
        <v>434722</v>
      </c>
      <c r="F3" s="54">
        <f>+SA!K20</f>
        <v>543402.5</v>
      </c>
    </row>
    <row r="4" spans="1:14" ht="15" hidden="1" thickBot="1" x14ac:dyDescent="0.35">
      <c r="A4" s="53" t="s">
        <v>152</v>
      </c>
      <c r="B4" s="54">
        <f>+Alojamiento!E10</f>
        <v>521979.16666666669</v>
      </c>
      <c r="C4" s="54">
        <f>+Alojamiento!F10</f>
        <v>554479.16666666663</v>
      </c>
      <c r="D4" s="54">
        <f>+Alojamiento!G10</f>
        <v>575729.16666666663</v>
      </c>
      <c r="E4" s="54">
        <f>+Alojamiento!H10</f>
        <v>602979.16666666663</v>
      </c>
      <c r="F4" s="54">
        <f>+Alojamiento!I10</f>
        <v>625479.16666666663</v>
      </c>
    </row>
    <row r="5" spans="1:14" ht="15" hidden="1" thickBot="1" x14ac:dyDescent="0.35">
      <c r="A5" s="53" t="s">
        <v>153</v>
      </c>
      <c r="B5" s="54">
        <f>+Wash!E36</f>
        <v>121313.83333333333</v>
      </c>
      <c r="C5" s="54">
        <f>+Wash!F36</f>
        <v>223305.66666666663</v>
      </c>
      <c r="D5" s="54">
        <f>+Wash!G36</f>
        <v>288839.5</v>
      </c>
      <c r="E5" s="54">
        <f>+Wash!H36</f>
        <v>363528.66666666669</v>
      </c>
      <c r="F5" s="54">
        <f>+Wash!I36</f>
        <v>424943.16666666669</v>
      </c>
    </row>
    <row r="6" spans="1:14" ht="15" hidden="1" thickBot="1" x14ac:dyDescent="0.35">
      <c r="A6" s="53" t="s">
        <v>154</v>
      </c>
      <c r="B6" s="54" t="s">
        <v>245</v>
      </c>
      <c r="C6" s="54">
        <f>+'[1]Educación '!F65</f>
        <v>17819.935277777779</v>
      </c>
      <c r="D6" s="54">
        <f>+'[1]Educación '!G65</f>
        <v>35639.870555555557</v>
      </c>
      <c r="E6" s="54">
        <f>+'[1]Educación '!G65</f>
        <v>35639.870555555557</v>
      </c>
      <c r="F6" s="54">
        <f>+'[1]Educación '!H65</f>
        <v>53459.805833333325</v>
      </c>
    </row>
    <row r="7" spans="1:14" ht="15" hidden="1" thickBot="1" x14ac:dyDescent="0.35">
      <c r="A7" s="53" t="s">
        <v>155</v>
      </c>
      <c r="B7" s="54">
        <f>+Salud!F11</f>
        <v>117615.66666666666</v>
      </c>
      <c r="C7" s="54">
        <f>+Salud!G11</f>
        <v>189653.16666666666</v>
      </c>
      <c r="D7" s="54">
        <f>+Salud!H11</f>
        <v>226789.33333333334</v>
      </c>
      <c r="E7" s="54">
        <f>+Salud!I11</f>
        <v>263826.83333333337</v>
      </c>
      <c r="F7" s="54">
        <f>+Salud!J11</f>
        <v>298826.83333333337</v>
      </c>
    </row>
    <row r="8" spans="1:14" ht="15" hidden="1" thickBot="1" x14ac:dyDescent="0.35">
      <c r="A8" s="53" t="s">
        <v>156</v>
      </c>
      <c r="B8" s="54">
        <f>+Protección!D5</f>
        <v>9943.4722222222226</v>
      </c>
      <c r="C8" s="54">
        <f>+Protección!E5</f>
        <v>20118.425925925927</v>
      </c>
      <c r="D8" s="54">
        <f>+Protección!F5</f>
        <v>24516.574074074073</v>
      </c>
      <c r="E8" s="54">
        <f>+Protección!G5</f>
        <v>28683.240740740745</v>
      </c>
      <c r="F8" s="54">
        <f>+Protección!H5</f>
        <v>33081.388888888891</v>
      </c>
    </row>
    <row r="9" spans="1:14" ht="15" hidden="1" thickBot="1" x14ac:dyDescent="0.35">
      <c r="A9" s="53" t="s">
        <v>157</v>
      </c>
      <c r="B9" s="54">
        <f>+Integración!B3</f>
        <v>57600</v>
      </c>
      <c r="C9" s="54">
        <f>+Integración!B3</f>
        <v>57600</v>
      </c>
      <c r="D9" s="54">
        <f>+Integración!C3</f>
        <v>115200</v>
      </c>
      <c r="E9" s="54">
        <f>+Integración!C3</f>
        <v>115200</v>
      </c>
      <c r="F9" s="54">
        <f>+Integración!C3</f>
        <v>115200</v>
      </c>
    </row>
    <row r="10" spans="1:14" ht="84" thickBot="1" x14ac:dyDescent="0.35">
      <c r="A10" s="55" t="s">
        <v>158</v>
      </c>
      <c r="B10" s="56">
        <f>SUM(B3:B9)</f>
        <v>937132.63888888899</v>
      </c>
      <c r="C10" s="56">
        <f>SUM(C3:C9)</f>
        <v>1280337.3612037036</v>
      </c>
      <c r="D10" s="56">
        <f>SUM(D3:D9)</f>
        <v>1592756.0261400249</v>
      </c>
      <c r="E10" s="102">
        <f>+SUM(E3:E9)</f>
        <v>1844579.7779629626</v>
      </c>
      <c r="F10" s="102">
        <f>+SUM(F3:F9)</f>
        <v>2094392.8613888891</v>
      </c>
      <c r="I10" s="80" t="s">
        <v>233</v>
      </c>
      <c r="J10" s="81" t="s">
        <v>180</v>
      </c>
      <c r="K10" s="81" t="s">
        <v>181</v>
      </c>
      <c r="L10" s="81" t="s">
        <v>182</v>
      </c>
      <c r="M10" s="81" t="s">
        <v>183</v>
      </c>
      <c r="N10" s="81" t="s">
        <v>183</v>
      </c>
    </row>
    <row r="11" spans="1:14" ht="15" thickBot="1" x14ac:dyDescent="0.35">
      <c r="A11" s="58" t="s">
        <v>234</v>
      </c>
      <c r="B11" s="59">
        <v>450000</v>
      </c>
      <c r="C11" s="59">
        <v>450000</v>
      </c>
      <c r="D11" s="59">
        <v>450000</v>
      </c>
      <c r="E11" s="60">
        <v>450000</v>
      </c>
      <c r="F11" s="60">
        <v>450000</v>
      </c>
      <c r="I11" s="82">
        <v>1</v>
      </c>
      <c r="J11" s="83">
        <v>0.79</v>
      </c>
      <c r="K11" s="83">
        <v>0.21</v>
      </c>
      <c r="L11" s="83">
        <v>0</v>
      </c>
      <c r="M11" s="83">
        <v>0</v>
      </c>
      <c r="N11" s="83">
        <v>0</v>
      </c>
    </row>
    <row r="12" spans="1:14" ht="15" thickBot="1" x14ac:dyDescent="0.35">
      <c r="A12" s="58" t="s">
        <v>235</v>
      </c>
      <c r="B12" s="33">
        <v>1023118</v>
      </c>
      <c r="C12" s="33">
        <v>660206</v>
      </c>
      <c r="D12" s="33">
        <v>573898</v>
      </c>
      <c r="E12" s="33">
        <v>531586</v>
      </c>
      <c r="F12" s="33">
        <v>438915</v>
      </c>
      <c r="G12" s="32"/>
      <c r="I12" s="82">
        <v>2</v>
      </c>
      <c r="J12" s="83">
        <v>0.72</v>
      </c>
      <c r="K12" s="83">
        <v>0.25</v>
      </c>
      <c r="L12" s="83">
        <v>0.03</v>
      </c>
      <c r="M12" s="83">
        <v>0</v>
      </c>
      <c r="N12" s="83">
        <v>0</v>
      </c>
    </row>
    <row r="13" spans="1:14" ht="15" thickBot="1" x14ac:dyDescent="0.35">
      <c r="A13" s="58" t="s">
        <v>236</v>
      </c>
      <c r="B13" s="33">
        <v>205179</v>
      </c>
      <c r="C13" s="33">
        <v>245746</v>
      </c>
      <c r="D13" s="33">
        <v>298907</v>
      </c>
      <c r="E13" s="33">
        <v>317311</v>
      </c>
      <c r="F13" s="33">
        <v>303249</v>
      </c>
      <c r="I13" s="82">
        <v>3</v>
      </c>
      <c r="J13" s="83">
        <v>0.62</v>
      </c>
      <c r="K13" s="83">
        <v>0.34</v>
      </c>
      <c r="L13" s="83">
        <v>0.04</v>
      </c>
      <c r="M13" s="83">
        <v>0</v>
      </c>
      <c r="N13" s="83">
        <v>0</v>
      </c>
    </row>
    <row r="14" spans="1:14" ht="15" thickBot="1" x14ac:dyDescent="0.35">
      <c r="A14" s="58" t="s">
        <v>237</v>
      </c>
      <c r="B14" s="33">
        <v>48621</v>
      </c>
      <c r="C14" s="33">
        <v>85161</v>
      </c>
      <c r="D14" s="33">
        <v>143112</v>
      </c>
      <c r="E14" s="33">
        <v>154014</v>
      </c>
      <c r="F14" s="33">
        <v>165517</v>
      </c>
      <c r="I14" s="82">
        <v>4</v>
      </c>
      <c r="J14" s="83">
        <v>0.61</v>
      </c>
      <c r="K14" s="83">
        <v>0.33</v>
      </c>
      <c r="L14" s="83">
        <v>0.06</v>
      </c>
      <c r="M14" s="83">
        <v>0</v>
      </c>
      <c r="N14" s="83">
        <v>0</v>
      </c>
    </row>
    <row r="15" spans="1:14" x14ac:dyDescent="0.3">
      <c r="A15" s="58" t="s">
        <v>238</v>
      </c>
      <c r="B15" s="61">
        <f>+$B$10-B11</f>
        <v>487132.63888888899</v>
      </c>
      <c r="C15" s="61">
        <f>+$C$10-C11</f>
        <v>830337.36120370356</v>
      </c>
      <c r="D15" s="61">
        <f>+$D$10-D11</f>
        <v>1142756.0261400249</v>
      </c>
      <c r="E15" s="62">
        <f>+$E$10-E11</f>
        <v>1394579.7779629626</v>
      </c>
      <c r="F15" s="62">
        <f>+$F$10-F11</f>
        <v>1644392.8613888891</v>
      </c>
    </row>
    <row r="16" spans="1:14" x14ac:dyDescent="0.3">
      <c r="A16" s="58" t="s">
        <v>239</v>
      </c>
      <c r="B16" s="61">
        <f>+$B$10-B12</f>
        <v>-85985.361111111008</v>
      </c>
      <c r="C16" s="61">
        <f>+$C$10-C12</f>
        <v>620131.36120370356</v>
      </c>
      <c r="D16" s="61">
        <f>+$D$10-D12</f>
        <v>1018858.0261400249</v>
      </c>
      <c r="E16" s="62">
        <f>+$E$10-E12</f>
        <v>1312993.7779629626</v>
      </c>
      <c r="F16" s="62">
        <f>+$F$10-F12</f>
        <v>1655477.8613888891</v>
      </c>
    </row>
    <row r="17" spans="1:6" x14ac:dyDescent="0.3">
      <c r="A17" s="58" t="s">
        <v>240</v>
      </c>
      <c r="B17" s="61">
        <f>+$B$10-B13</f>
        <v>731953.63888888899</v>
      </c>
      <c r="C17" s="61">
        <f>+$C$10-C13</f>
        <v>1034591.3612037036</v>
      </c>
      <c r="D17" s="61">
        <f>+$D$10-D13</f>
        <v>1293849.0261400249</v>
      </c>
      <c r="E17" s="62">
        <f>+$E$10-E13</f>
        <v>1527268.7779629626</v>
      </c>
      <c r="F17" s="62">
        <f>+$F$10-F13</f>
        <v>1791143.8613888891</v>
      </c>
    </row>
    <row r="18" spans="1:6" x14ac:dyDescent="0.3">
      <c r="A18" s="58" t="s">
        <v>241</v>
      </c>
      <c r="B18" s="61">
        <f>+$B$10-B14</f>
        <v>888511.63888888899</v>
      </c>
      <c r="C18" s="61">
        <f>+$C$10-C14</f>
        <v>1195176.3612037036</v>
      </c>
      <c r="D18" s="61">
        <f>+$D$10-D14</f>
        <v>1449644.0261400249</v>
      </c>
      <c r="E18" s="62">
        <f>+$E$10-E14</f>
        <v>1690565.7779629626</v>
      </c>
      <c r="F18" s="62">
        <f>+$F$10-F14</f>
        <v>1928875.8613888891</v>
      </c>
    </row>
    <row r="19" spans="1:6" x14ac:dyDescent="0.3">
      <c r="A19" s="104">
        <v>0.6</v>
      </c>
      <c r="B19" s="63">
        <v>0.6</v>
      </c>
      <c r="C19" s="63">
        <v>0.6</v>
      </c>
      <c r="D19" s="63">
        <v>0.6</v>
      </c>
      <c r="E19" s="63">
        <v>0.6</v>
      </c>
      <c r="F19" s="63">
        <v>0.6</v>
      </c>
    </row>
    <row r="20" spans="1:6" x14ac:dyDescent="0.3">
      <c r="A20" s="58" t="s">
        <v>248</v>
      </c>
      <c r="B20" s="103">
        <f>+B15*$B$19</f>
        <v>292279.58333333337</v>
      </c>
      <c r="C20" s="103">
        <f>+C15*$C$19</f>
        <v>498202.41672222211</v>
      </c>
      <c r="D20" s="103">
        <f>+D15*$D$19</f>
        <v>685653.61568401486</v>
      </c>
      <c r="E20" s="103">
        <f>+E15*$E$19</f>
        <v>836747.86677777756</v>
      </c>
      <c r="F20" s="103">
        <f>+F15*$F$19</f>
        <v>986635.71683333348</v>
      </c>
    </row>
    <row r="21" spans="1:6" x14ac:dyDescent="0.3">
      <c r="A21" s="58" t="s">
        <v>244</v>
      </c>
      <c r="B21" s="103">
        <f>+B16*$B$19</f>
        <v>-51591.216666666602</v>
      </c>
      <c r="C21" s="103">
        <f>+C16*$C$19</f>
        <v>372078.81672222214</v>
      </c>
      <c r="D21" s="103">
        <f>+D16*$D$19</f>
        <v>611314.81568401493</v>
      </c>
      <c r="E21" s="103">
        <f>+E16*$E$19</f>
        <v>787796.26677777758</v>
      </c>
      <c r="F21" s="103">
        <f>+F16*$F$19</f>
        <v>993286.71683333348</v>
      </c>
    </row>
    <row r="22" spans="1:6" x14ac:dyDescent="0.3">
      <c r="A22" s="58" t="s">
        <v>243</v>
      </c>
      <c r="B22" s="103">
        <f>+B17*$B$19</f>
        <v>439172.18333333341</v>
      </c>
      <c r="C22" s="103">
        <f>+C17*$C$19</f>
        <v>620754.81672222214</v>
      </c>
      <c r="D22" s="103">
        <f>+D17*$D$19</f>
        <v>776309.41568401491</v>
      </c>
      <c r="E22" s="103">
        <f>+E17*$E$19</f>
        <v>916361.26677777758</v>
      </c>
      <c r="F22" s="103">
        <f>+F17*$F$19</f>
        <v>1074686.3168333333</v>
      </c>
    </row>
    <row r="23" spans="1:6" x14ac:dyDescent="0.3">
      <c r="A23" s="58" t="s">
        <v>242</v>
      </c>
      <c r="B23" s="103">
        <f>+B18*$B$19</f>
        <v>533106.9833333334</v>
      </c>
      <c r="C23" s="103">
        <f>+C18*$C$19</f>
        <v>717105.81672222214</v>
      </c>
      <c r="D23" s="103">
        <f>+D18*$D$19</f>
        <v>869786.41568401491</v>
      </c>
      <c r="E23" s="103">
        <f>+E18*$E$19</f>
        <v>1014339.4667777775</v>
      </c>
      <c r="F23" s="103">
        <f>+F18*$F$19</f>
        <v>1157325.5168333335</v>
      </c>
    </row>
    <row r="24" spans="1:6" ht="27.6" x14ac:dyDescent="0.3">
      <c r="A24" s="106" t="s">
        <v>250</v>
      </c>
      <c r="B24" s="64">
        <f>B10/$E$10</f>
        <v>0.50804668363208394</v>
      </c>
      <c r="C24" s="64">
        <f>C10/$E$10</f>
        <v>0.6941078811010426</v>
      </c>
      <c r="D24" s="64">
        <f>D10/$E$10</f>
        <v>0.86347906724802326</v>
      </c>
      <c r="E24" s="64">
        <f>E10/$E$10</f>
        <v>1</v>
      </c>
      <c r="F24" s="64">
        <f>F10/$E$10</f>
        <v>1.1354308913121689</v>
      </c>
    </row>
    <row r="25" spans="1:6" ht="27.6" x14ac:dyDescent="0.3">
      <c r="A25" s="106" t="s">
        <v>249</v>
      </c>
      <c r="B25" s="64">
        <f>B20/$E$20</f>
        <v>0.34930424676057958</v>
      </c>
      <c r="C25" s="64">
        <f t="shared" ref="C25:E25" si="0">C20/$E$20</f>
        <v>0.59540327080933464</v>
      </c>
      <c r="D25" s="64">
        <f t="shared" si="0"/>
        <v>0.81942678661899704</v>
      </c>
      <c r="E25" s="64">
        <f t="shared" si="0"/>
        <v>1</v>
      </c>
      <c r="F25" s="64">
        <f t="shared" ref="F25" si="1">F20/$E$20</f>
        <v>1.1791314397164312</v>
      </c>
    </row>
    <row r="27" spans="1:6" ht="15" thickBot="1" x14ac:dyDescent="0.35"/>
    <row r="28" spans="1:6" x14ac:dyDescent="0.3">
      <c r="A28" s="152" t="s">
        <v>252</v>
      </c>
      <c r="B28" s="153"/>
      <c r="C28" s="153"/>
      <c r="D28" s="153"/>
      <c r="E28" s="153"/>
      <c r="F28" s="154"/>
    </row>
    <row r="29" spans="1:6" x14ac:dyDescent="0.3">
      <c r="A29" s="112" t="s">
        <v>251</v>
      </c>
      <c r="B29" s="113">
        <v>190000</v>
      </c>
      <c r="C29" s="113">
        <v>280000</v>
      </c>
      <c r="D29" s="113">
        <v>330000</v>
      </c>
      <c r="E29" s="113">
        <v>370000</v>
      </c>
      <c r="F29" s="114">
        <v>370000</v>
      </c>
    </row>
    <row r="30" spans="1:6" x14ac:dyDescent="0.3">
      <c r="A30" s="117" t="s">
        <v>253</v>
      </c>
      <c r="B30" s="118">
        <f>B29/354031</f>
        <v>0.53667616677635577</v>
      </c>
      <c r="C30" s="118">
        <f>C29/354031</f>
        <v>0.79089119314410317</v>
      </c>
      <c r="D30" s="118">
        <f>D29/354031</f>
        <v>0.93212176334840735</v>
      </c>
      <c r="E30" s="118">
        <f>E29/354031</f>
        <v>1.0451062195118506</v>
      </c>
      <c r="F30" s="119">
        <f>F29/354031</f>
        <v>1.0451062195118506</v>
      </c>
    </row>
    <row r="31" spans="1:6" x14ac:dyDescent="0.3">
      <c r="A31" s="110" t="s">
        <v>248</v>
      </c>
      <c r="B31" s="115">
        <f>Monto!B20/354031</f>
        <v>0.82557624426486209</v>
      </c>
      <c r="C31" s="115">
        <f>Monto!C20/354031</f>
        <v>1.4072282278168355</v>
      </c>
      <c r="D31" s="115">
        <f>Monto!D20/354031</f>
        <v>1.9367050221139246</v>
      </c>
      <c r="E31" s="115">
        <f>Monto!E20/354031</f>
        <v>2.3634875668452127</v>
      </c>
      <c r="F31" s="116">
        <f>Monto!F20/354031</f>
        <v>2.7868624974460809</v>
      </c>
    </row>
    <row r="32" spans="1:6" x14ac:dyDescent="0.3">
      <c r="A32" s="110" t="s">
        <v>246</v>
      </c>
      <c r="B32" s="115">
        <f>Monto!B21/354031</f>
        <v>0.68798020355405176</v>
      </c>
      <c r="C32" s="115">
        <f>Monto!C21/354031</f>
        <v>1.172690189847363</v>
      </c>
      <c r="D32" s="115">
        <f>Monto!D21/354031</f>
        <v>1.6139208517616042</v>
      </c>
      <c r="E32" s="115">
        <f>Monto!E21/354031</f>
        <v>1.9695729723710107</v>
      </c>
      <c r="F32" s="116">
        <f>Monto!F21/354031</f>
        <v>2.3223854145384006</v>
      </c>
    </row>
    <row r="33" spans="1:6" x14ac:dyDescent="0.3">
      <c r="A33" s="111" t="s">
        <v>257</v>
      </c>
      <c r="B33" s="115">
        <f>Monto!B22/354031</f>
        <v>0.6191821831986466</v>
      </c>
      <c r="C33" s="115">
        <f>Monto!C22/354031</f>
        <v>1.0554211708626267</v>
      </c>
      <c r="D33" s="115">
        <f>Monto!D22/354031</f>
        <v>1.4525287665854438</v>
      </c>
      <c r="E33" s="115">
        <f>Monto!E22/354031</f>
        <v>1.7726156751339099</v>
      </c>
      <c r="F33" s="116"/>
    </row>
    <row r="34" spans="1:6" x14ac:dyDescent="0.3">
      <c r="A34" s="111" t="s">
        <v>247</v>
      </c>
      <c r="B34" s="115">
        <f>Monto!B23/354031</f>
        <v>0.59166297505648457</v>
      </c>
      <c r="C34" s="115">
        <f>Monto!C23/354031</f>
        <v>0.93815215187789047</v>
      </c>
      <c r="D34" s="115">
        <f>Monto!D23/354031</f>
        <v>1.2911366814092833</v>
      </c>
      <c r="E34" s="115">
        <f>Monto!E23/354031</f>
        <v>1.5756583778968087</v>
      </c>
      <c r="F34" s="116">
        <f>Monto!F23/354031</f>
        <v>1.8579083316307206</v>
      </c>
    </row>
    <row r="36" spans="1:6" x14ac:dyDescent="0.3">
      <c r="B36" s="32"/>
    </row>
    <row r="37" spans="1:6" x14ac:dyDescent="0.3">
      <c r="B37" s="32"/>
    </row>
    <row r="38" spans="1:6" x14ac:dyDescent="0.3">
      <c r="B38" s="32"/>
    </row>
    <row r="39" spans="1:6" x14ac:dyDescent="0.3">
      <c r="B39" s="32"/>
    </row>
    <row r="40" spans="1:6" x14ac:dyDescent="0.3">
      <c r="B40" s="32"/>
    </row>
    <row r="41" spans="1:6" x14ac:dyDescent="0.3">
      <c r="B41" s="32"/>
    </row>
    <row r="43" spans="1:6" x14ac:dyDescent="0.3">
      <c r="B43" s="32"/>
    </row>
    <row r="44" spans="1:6" x14ac:dyDescent="0.3">
      <c r="B44" s="32"/>
    </row>
    <row r="45" spans="1:6" x14ac:dyDescent="0.3">
      <c r="B45" s="32"/>
    </row>
    <row r="46" spans="1:6" x14ac:dyDescent="0.3">
      <c r="B46" s="32"/>
    </row>
    <row r="47" spans="1:6" x14ac:dyDescent="0.3">
      <c r="B47" s="32"/>
    </row>
    <row r="48" spans="1:6" x14ac:dyDescent="0.3">
      <c r="B48" s="32"/>
    </row>
    <row r="50" spans="2:2" x14ac:dyDescent="0.3">
      <c r="B50" s="32"/>
    </row>
    <row r="51" spans="2:2" x14ac:dyDescent="0.3">
      <c r="B51" s="32"/>
    </row>
    <row r="52" spans="2:2" x14ac:dyDescent="0.3">
      <c r="B52" s="32"/>
    </row>
    <row r="53" spans="2:2" x14ac:dyDescent="0.3">
      <c r="B53" s="32"/>
    </row>
    <row r="54" spans="2:2" x14ac:dyDescent="0.3">
      <c r="B54" s="32"/>
    </row>
    <row r="55" spans="2:2" x14ac:dyDescent="0.3">
      <c r="B55" s="32"/>
    </row>
  </sheetData>
  <mergeCells count="2">
    <mergeCell ref="A1:F1"/>
    <mergeCell ref="A28:F28"/>
  </mergeCells>
  <phoneticPr fontId="5" type="noConversion"/>
  <conditionalFormatting sqref="B15:B1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C1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:E1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:F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02A0-83AC-47FD-A5DA-508B8BF8B6B5}">
  <dimension ref="A1:J5"/>
  <sheetViews>
    <sheetView zoomScale="90" zoomScaleNormal="90" workbookViewId="0">
      <selection activeCell="C3" sqref="C3"/>
    </sheetView>
  </sheetViews>
  <sheetFormatPr defaultColWidth="11.5546875" defaultRowHeight="13.8" x14ac:dyDescent="0.25"/>
  <cols>
    <col min="1" max="1" width="17.44140625" style="40" customWidth="1"/>
    <col min="2" max="2" width="11.5546875" style="40"/>
    <col min="3" max="3" width="16" style="40" customWidth="1"/>
    <col min="4" max="4" width="13.77734375" style="40" customWidth="1"/>
    <col min="5" max="5" width="11.5546875" style="40"/>
    <col min="6" max="6" width="17.21875" style="40" customWidth="1"/>
    <col min="7" max="8" width="11.5546875" style="40"/>
    <col min="9" max="9" width="23.77734375" style="40" customWidth="1"/>
    <col min="10" max="16384" width="11.5546875" style="40"/>
  </cols>
  <sheetData>
    <row r="1" spans="1:10" ht="42" thickBot="1" x14ac:dyDescent="0.3">
      <c r="A1" s="66" t="s">
        <v>185</v>
      </c>
      <c r="B1" s="65" t="s">
        <v>162</v>
      </c>
      <c r="C1" s="65" t="s">
        <v>163</v>
      </c>
      <c r="D1" s="65" t="s">
        <v>164</v>
      </c>
      <c r="E1" s="65" t="s">
        <v>165</v>
      </c>
      <c r="F1" s="65" t="s">
        <v>166</v>
      </c>
      <c r="G1" s="65" t="s">
        <v>167</v>
      </c>
      <c r="H1" s="65" t="s">
        <v>168</v>
      </c>
      <c r="I1" s="65" t="s">
        <v>169</v>
      </c>
    </row>
    <row r="2" spans="1:10" ht="28.2" thickBot="1" x14ac:dyDescent="0.3">
      <c r="A2" s="66" t="s">
        <v>170</v>
      </c>
      <c r="B2" s="67" t="s">
        <v>171</v>
      </c>
      <c r="C2" s="68" t="s">
        <v>172</v>
      </c>
      <c r="D2" s="70">
        <v>2</v>
      </c>
      <c r="E2" s="70">
        <v>1</v>
      </c>
      <c r="F2" s="70">
        <v>2</v>
      </c>
      <c r="G2" s="69">
        <v>15200</v>
      </c>
      <c r="H2" s="69">
        <v>30400</v>
      </c>
      <c r="I2" s="69">
        <v>60800</v>
      </c>
      <c r="J2" s="71">
        <f>I2/216</f>
        <v>281.48148148148147</v>
      </c>
    </row>
    <row r="3" spans="1:10" ht="73.95" customHeight="1" thickBot="1" x14ac:dyDescent="0.3">
      <c r="A3" s="137" t="s">
        <v>173</v>
      </c>
      <c r="B3" s="67" t="s">
        <v>174</v>
      </c>
      <c r="C3" s="68" t="s">
        <v>175</v>
      </c>
      <c r="D3" s="70">
        <v>1.5</v>
      </c>
      <c r="E3" s="70">
        <v>0.3</v>
      </c>
      <c r="F3" s="70">
        <v>0.3</v>
      </c>
      <c r="G3" s="69">
        <v>12450</v>
      </c>
      <c r="H3" s="69">
        <v>3735</v>
      </c>
      <c r="I3" s="69">
        <v>5603</v>
      </c>
    </row>
    <row r="4" spans="1:10" ht="28.2" thickBot="1" x14ac:dyDescent="0.3">
      <c r="A4" s="138"/>
      <c r="B4" s="67" t="s">
        <v>176</v>
      </c>
      <c r="C4" s="68" t="s">
        <v>177</v>
      </c>
      <c r="D4" s="70">
        <v>1.5</v>
      </c>
      <c r="E4" s="70">
        <v>1</v>
      </c>
      <c r="F4" s="70">
        <v>1</v>
      </c>
      <c r="G4" s="69">
        <v>10500</v>
      </c>
      <c r="H4" s="69">
        <v>10500</v>
      </c>
      <c r="I4" s="69">
        <v>15750</v>
      </c>
    </row>
    <row r="5" spans="1:10" ht="42" thickBot="1" x14ac:dyDescent="0.3">
      <c r="A5" s="139"/>
      <c r="B5" s="67" t="s">
        <v>178</v>
      </c>
      <c r="C5" s="68" t="s">
        <v>179</v>
      </c>
      <c r="D5" s="70">
        <v>3</v>
      </c>
      <c r="E5" s="70">
        <v>1</v>
      </c>
      <c r="F5" s="70">
        <v>1</v>
      </c>
      <c r="G5" s="69">
        <v>17400</v>
      </c>
      <c r="H5" s="69">
        <v>17400</v>
      </c>
      <c r="I5" s="69">
        <v>52200</v>
      </c>
    </row>
  </sheetData>
  <mergeCells count="1">
    <mergeCell ref="A3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1384-5893-461D-AE54-07762190F260}">
  <dimension ref="A1:I11"/>
  <sheetViews>
    <sheetView zoomScale="102" zoomScaleNormal="102" workbookViewId="0">
      <selection activeCell="B8" sqref="B8"/>
    </sheetView>
  </sheetViews>
  <sheetFormatPr defaultColWidth="11.44140625" defaultRowHeight="13.8" x14ac:dyDescent="0.25"/>
  <cols>
    <col min="1" max="1" width="19.44140625" style="40" customWidth="1"/>
    <col min="2" max="2" width="33.5546875" style="40" customWidth="1"/>
    <col min="3" max="4" width="16.5546875" style="40" customWidth="1"/>
    <col min="5" max="9" width="19" style="40" customWidth="1"/>
    <col min="10" max="16384" width="11.44140625" style="40"/>
  </cols>
  <sheetData>
    <row r="1" spans="1:9" ht="60.75" customHeight="1" x14ac:dyDescent="0.25">
      <c r="A1" s="12" t="s">
        <v>33</v>
      </c>
      <c r="B1" s="12" t="s">
        <v>34</v>
      </c>
      <c r="C1" s="12" t="s">
        <v>35</v>
      </c>
      <c r="D1" s="12" t="s">
        <v>36</v>
      </c>
      <c r="E1" s="12" t="s">
        <v>6</v>
      </c>
      <c r="F1" s="12" t="s">
        <v>7</v>
      </c>
      <c r="G1" s="12" t="s">
        <v>8</v>
      </c>
      <c r="H1" s="12" t="s">
        <v>9</v>
      </c>
      <c r="I1" s="12" t="s">
        <v>187</v>
      </c>
    </row>
    <row r="2" spans="1:9" ht="31.5" customHeight="1" x14ac:dyDescent="0.25">
      <c r="A2" s="10" t="s">
        <v>37</v>
      </c>
      <c r="B2" s="13"/>
      <c r="C2" s="13"/>
      <c r="D2" s="13" t="s">
        <v>38</v>
      </c>
      <c r="E2" s="51">
        <v>450000</v>
      </c>
      <c r="F2" s="51">
        <v>450000</v>
      </c>
      <c r="G2" s="51">
        <v>450000</v>
      </c>
      <c r="H2" s="51">
        <v>450000</v>
      </c>
      <c r="I2" s="51">
        <v>450000</v>
      </c>
    </row>
    <row r="3" spans="1:9" ht="27.6" x14ac:dyDescent="0.25">
      <c r="A3" s="10" t="s">
        <v>39</v>
      </c>
      <c r="B3" s="13"/>
      <c r="C3" s="13"/>
      <c r="D3" s="13" t="s">
        <v>38</v>
      </c>
      <c r="E3" s="51">
        <v>25000</v>
      </c>
      <c r="F3" s="51">
        <v>37500</v>
      </c>
      <c r="G3" s="51">
        <v>38750</v>
      </c>
      <c r="H3" s="51">
        <v>46000</v>
      </c>
      <c r="I3" s="51">
        <v>63500</v>
      </c>
    </row>
    <row r="4" spans="1:9" x14ac:dyDescent="0.25">
      <c r="A4" s="10" t="s">
        <v>40</v>
      </c>
      <c r="B4" s="13"/>
      <c r="C4" s="13"/>
      <c r="D4" s="13" t="s">
        <v>38</v>
      </c>
      <c r="E4" s="51">
        <v>15000</v>
      </c>
      <c r="F4" s="51">
        <v>20000</v>
      </c>
      <c r="G4" s="51">
        <v>25000</v>
      </c>
      <c r="H4" s="51">
        <v>30000</v>
      </c>
      <c r="I4" s="51">
        <v>35000</v>
      </c>
    </row>
    <row r="5" spans="1:9" x14ac:dyDescent="0.25">
      <c r="A5" s="10" t="s">
        <v>41</v>
      </c>
      <c r="B5" s="30"/>
      <c r="C5" s="30"/>
      <c r="D5" s="13" t="s">
        <v>38</v>
      </c>
      <c r="E5" s="51">
        <v>20000</v>
      </c>
      <c r="F5" s="51">
        <v>35000</v>
      </c>
      <c r="G5" s="51">
        <v>50000</v>
      </c>
      <c r="H5" s="51">
        <v>65000</v>
      </c>
      <c r="I5" s="51">
        <v>65000</v>
      </c>
    </row>
    <row r="6" spans="1:9" ht="52.2" customHeight="1" x14ac:dyDescent="0.25">
      <c r="A6" s="140" t="s">
        <v>42</v>
      </c>
      <c r="B6" s="75" t="s">
        <v>207</v>
      </c>
      <c r="C6" s="14">
        <v>80000</v>
      </c>
      <c r="D6" s="13" t="s">
        <v>210</v>
      </c>
      <c r="E6" s="51">
        <f>+C6/12</f>
        <v>6666.666666666667</v>
      </c>
      <c r="F6" s="51">
        <f>+C6/12</f>
        <v>6666.666666666667</v>
      </c>
      <c r="G6" s="51">
        <f>+C6/12</f>
        <v>6666.666666666667</v>
      </c>
      <c r="H6" s="51">
        <f>+C6/12</f>
        <v>6666.666666666667</v>
      </c>
      <c r="I6" s="51">
        <f>+C6/12</f>
        <v>6666.666666666667</v>
      </c>
    </row>
    <row r="7" spans="1:9" ht="70.8" customHeight="1" x14ac:dyDescent="0.25">
      <c r="A7" s="141"/>
      <c r="B7" s="75" t="s">
        <v>208</v>
      </c>
      <c r="C7" s="31">
        <v>165000</v>
      </c>
      <c r="D7" s="13" t="s">
        <v>210</v>
      </c>
      <c r="E7" s="51">
        <f>+C7/12</f>
        <v>13750</v>
      </c>
      <c r="F7" s="51">
        <f t="shared" ref="F7:F9" si="0">+C7/12</f>
        <v>13750</v>
      </c>
      <c r="G7" s="51">
        <f t="shared" ref="G7:G9" si="1">+C7/12</f>
        <v>13750</v>
      </c>
      <c r="H7" s="51">
        <f t="shared" ref="H7:H9" si="2">+C7/12</f>
        <v>13750</v>
      </c>
      <c r="I7" s="51">
        <f t="shared" ref="I7:I9" si="3">+C7/12</f>
        <v>13750</v>
      </c>
    </row>
    <row r="8" spans="1:9" ht="65.400000000000006" customHeight="1" x14ac:dyDescent="0.25">
      <c r="A8" s="141"/>
      <c r="B8" s="75" t="s">
        <v>221</v>
      </c>
      <c r="C8" s="31">
        <v>130000</v>
      </c>
      <c r="D8" s="13" t="s">
        <v>210</v>
      </c>
      <c r="E8" s="51">
        <f>+C8/12</f>
        <v>10833.333333333334</v>
      </c>
      <c r="F8" s="51">
        <f t="shared" si="0"/>
        <v>10833.333333333334</v>
      </c>
      <c r="G8" s="51">
        <f t="shared" si="1"/>
        <v>10833.333333333334</v>
      </c>
      <c r="H8" s="51">
        <f t="shared" si="2"/>
        <v>10833.333333333334</v>
      </c>
      <c r="I8" s="51">
        <f t="shared" si="3"/>
        <v>10833.333333333334</v>
      </c>
    </row>
    <row r="9" spans="1:9" ht="70.5" customHeight="1" x14ac:dyDescent="0.25">
      <c r="A9" s="142"/>
      <c r="B9" s="75" t="s">
        <v>209</v>
      </c>
      <c r="C9" s="14">
        <v>200000</v>
      </c>
      <c r="D9" s="13" t="s">
        <v>210</v>
      </c>
      <c r="E9" s="51">
        <f>+C9/12</f>
        <v>16666.666666666668</v>
      </c>
      <c r="F9" s="51">
        <f t="shared" si="0"/>
        <v>16666.666666666668</v>
      </c>
      <c r="G9" s="51">
        <f t="shared" si="1"/>
        <v>16666.666666666668</v>
      </c>
      <c r="H9" s="51">
        <f t="shared" si="2"/>
        <v>16666.666666666668</v>
      </c>
      <c r="I9" s="51">
        <f t="shared" si="3"/>
        <v>16666.666666666668</v>
      </c>
    </row>
    <row r="10" spans="1:9" x14ac:dyDescent="0.25">
      <c r="A10" s="29" t="s">
        <v>44</v>
      </c>
      <c r="B10" s="48"/>
      <c r="C10" s="48"/>
      <c r="D10" s="76"/>
      <c r="E10" s="77">
        <f>+SUM(E2:E5)+AVERAGE(E6:E9)</f>
        <v>521979.16666666669</v>
      </c>
      <c r="F10" s="77">
        <f>+SUM(F2:F5)+AVERAGE(F6:F9)</f>
        <v>554479.16666666663</v>
      </c>
      <c r="G10" s="77">
        <f>+SUM(G2:G5)+AVERAGE(G6:G9)</f>
        <v>575729.16666666663</v>
      </c>
      <c r="H10" s="78">
        <f>+SUM(H2:H5)+AVERAGE(H6:H9)</f>
        <v>602979.16666666663</v>
      </c>
      <c r="I10" s="78">
        <f>+SUM(I2:I5)+AVERAGE(I6:I9)</f>
        <v>625479.16666666663</v>
      </c>
    </row>
    <row r="11" spans="1:9" x14ac:dyDescent="0.25">
      <c r="E11" s="79"/>
    </row>
  </sheetData>
  <mergeCells count="1">
    <mergeCell ref="A6:A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80105-2469-4427-A96D-61FD28CE5466}">
  <dimension ref="A1:I36"/>
  <sheetViews>
    <sheetView zoomScale="96" zoomScaleNormal="96" workbookViewId="0">
      <pane ySplit="1" topLeftCell="A2" activePane="bottomLeft" state="frozen"/>
      <selection pane="bottomLeft" activeCell="J1" sqref="J1"/>
    </sheetView>
  </sheetViews>
  <sheetFormatPr defaultColWidth="11.44140625" defaultRowHeight="13.8" x14ac:dyDescent="0.25"/>
  <cols>
    <col min="1" max="1" width="19.33203125" style="40" customWidth="1"/>
    <col min="2" max="2" width="18.5546875" style="40" customWidth="1"/>
    <col min="3" max="3" width="23.5546875" style="50" customWidth="1"/>
    <col min="4" max="4" width="15" style="40" bestFit="1" customWidth="1"/>
    <col min="5" max="5" width="28.44140625" style="40" bestFit="1" customWidth="1"/>
    <col min="6" max="6" width="29.33203125" style="40" bestFit="1" customWidth="1"/>
    <col min="7" max="8" width="18.21875" style="40" customWidth="1"/>
    <col min="9" max="9" width="29.33203125" style="40" bestFit="1" customWidth="1"/>
    <col min="10" max="16384" width="11.44140625" style="40"/>
  </cols>
  <sheetData>
    <row r="1" spans="1:9" ht="27" customHeight="1" x14ac:dyDescent="0.25">
      <c r="A1" s="12" t="s">
        <v>34</v>
      </c>
      <c r="B1" s="12" t="s">
        <v>33</v>
      </c>
      <c r="C1" s="12" t="s">
        <v>45</v>
      </c>
      <c r="D1" s="12" t="s">
        <v>5</v>
      </c>
      <c r="E1" s="12" t="s">
        <v>46</v>
      </c>
      <c r="F1" s="11" t="s">
        <v>47</v>
      </c>
      <c r="G1" s="11" t="s">
        <v>48</v>
      </c>
      <c r="H1" s="11" t="s">
        <v>188</v>
      </c>
      <c r="I1" s="11" t="s">
        <v>189</v>
      </c>
    </row>
    <row r="2" spans="1:9" ht="41.4" x14ac:dyDescent="0.25">
      <c r="A2" s="10" t="s">
        <v>49</v>
      </c>
      <c r="B2" s="10"/>
      <c r="C2" s="41" t="s">
        <v>199</v>
      </c>
      <c r="D2" s="42">
        <v>17673</v>
      </c>
      <c r="E2" s="42">
        <v>2946</v>
      </c>
      <c r="F2" s="42">
        <v>2946</v>
      </c>
      <c r="G2" s="42">
        <v>2946</v>
      </c>
      <c r="H2" s="42">
        <v>2946</v>
      </c>
      <c r="I2" s="42">
        <v>2946</v>
      </c>
    </row>
    <row r="3" spans="1:9" ht="75" customHeight="1" x14ac:dyDescent="0.25">
      <c r="A3" s="10" t="s">
        <v>50</v>
      </c>
      <c r="B3" s="10"/>
      <c r="C3" s="41" t="s">
        <v>199</v>
      </c>
      <c r="D3" s="42">
        <v>31100</v>
      </c>
      <c r="E3" s="42">
        <v>5183</v>
      </c>
      <c r="F3" s="42">
        <v>5183</v>
      </c>
      <c r="G3" s="42">
        <v>5183</v>
      </c>
      <c r="H3" s="42">
        <v>5183</v>
      </c>
      <c r="I3" s="42">
        <v>5183</v>
      </c>
    </row>
    <row r="4" spans="1:9" x14ac:dyDescent="0.25">
      <c r="A4" s="10" t="s">
        <v>51</v>
      </c>
      <c r="B4" s="10"/>
      <c r="C4" s="41" t="s">
        <v>199</v>
      </c>
      <c r="D4" s="42">
        <v>8700</v>
      </c>
      <c r="E4" s="42">
        <v>1450</v>
      </c>
      <c r="F4" s="42">
        <v>1450</v>
      </c>
      <c r="G4" s="42">
        <v>1450</v>
      </c>
      <c r="H4" s="42">
        <v>1450</v>
      </c>
      <c r="I4" s="42">
        <v>1450</v>
      </c>
    </row>
    <row r="5" spans="1:9" x14ac:dyDescent="0.25">
      <c r="A5" s="10" t="s">
        <v>52</v>
      </c>
      <c r="B5" s="10"/>
      <c r="C5" s="41" t="s">
        <v>199</v>
      </c>
      <c r="D5" s="42">
        <v>10695</v>
      </c>
      <c r="E5" s="42">
        <v>1783</v>
      </c>
      <c r="F5" s="42">
        <v>1783</v>
      </c>
      <c r="G5" s="42">
        <v>1783</v>
      </c>
      <c r="H5" s="42">
        <v>1783</v>
      </c>
      <c r="I5" s="42">
        <v>1783</v>
      </c>
    </row>
    <row r="6" spans="1:9" x14ac:dyDescent="0.25">
      <c r="A6" s="10" t="s">
        <v>53</v>
      </c>
      <c r="B6" s="10"/>
      <c r="C6" s="41" t="s">
        <v>199</v>
      </c>
      <c r="D6" s="42">
        <v>5800</v>
      </c>
      <c r="E6" s="42">
        <v>967</v>
      </c>
      <c r="F6" s="42">
        <v>967</v>
      </c>
      <c r="G6" s="42">
        <v>967</v>
      </c>
      <c r="H6" s="42">
        <v>967</v>
      </c>
      <c r="I6" s="42">
        <v>967</v>
      </c>
    </row>
    <row r="7" spans="1:9" x14ac:dyDescent="0.25">
      <c r="A7" s="10" t="s">
        <v>54</v>
      </c>
      <c r="B7" s="10"/>
      <c r="C7" s="41" t="s">
        <v>199</v>
      </c>
      <c r="D7" s="42">
        <v>3700</v>
      </c>
      <c r="E7" s="42">
        <v>617</v>
      </c>
      <c r="F7" s="42">
        <v>617</v>
      </c>
      <c r="G7" s="42">
        <v>617</v>
      </c>
      <c r="H7" s="42">
        <v>617</v>
      </c>
      <c r="I7" s="42">
        <v>617</v>
      </c>
    </row>
    <row r="8" spans="1:9" x14ac:dyDescent="0.25">
      <c r="A8" s="10" t="s">
        <v>55</v>
      </c>
      <c r="B8" s="10"/>
      <c r="C8" s="41" t="s">
        <v>56</v>
      </c>
      <c r="D8" s="42">
        <v>79900</v>
      </c>
      <c r="E8" s="42">
        <f>D8/12</f>
        <v>6658.333333333333</v>
      </c>
      <c r="F8" s="42">
        <f>D8*2/12</f>
        <v>13316.666666666666</v>
      </c>
      <c r="G8" s="42">
        <f>D8*3/12</f>
        <v>19975</v>
      </c>
      <c r="H8" s="42">
        <v>26633</v>
      </c>
      <c r="I8" s="42">
        <f>D8*5/12</f>
        <v>33291.666666666664</v>
      </c>
    </row>
    <row r="9" spans="1:9" x14ac:dyDescent="0.25">
      <c r="A9" s="10" t="s">
        <v>226</v>
      </c>
      <c r="B9" s="10"/>
      <c r="C9" s="41" t="s">
        <v>184</v>
      </c>
      <c r="D9" s="42">
        <v>3100</v>
      </c>
      <c r="E9" s="42">
        <f>D9</f>
        <v>3100</v>
      </c>
      <c r="F9" s="42">
        <f>D9*2</f>
        <v>6200</v>
      </c>
      <c r="G9" s="42">
        <f>D9*3</f>
        <v>9300</v>
      </c>
      <c r="H9" s="42">
        <f>D9*4</f>
        <v>12400</v>
      </c>
      <c r="I9" s="42">
        <f>D9*5</f>
        <v>15500</v>
      </c>
    </row>
    <row r="10" spans="1:9" x14ac:dyDescent="0.25">
      <c r="A10" s="10" t="s">
        <v>225</v>
      </c>
      <c r="B10" s="10"/>
      <c r="C10" s="41" t="s">
        <v>56</v>
      </c>
      <c r="D10" s="42">
        <v>2000</v>
      </c>
      <c r="E10" s="42">
        <f>D10/12</f>
        <v>166.66666666666666</v>
      </c>
      <c r="F10" s="42">
        <f t="shared" ref="F10:F13" si="0">D10*2/12</f>
        <v>333.33333333333331</v>
      </c>
      <c r="G10" s="42">
        <f t="shared" ref="G10" si="1">D10*3/12</f>
        <v>500</v>
      </c>
      <c r="H10" s="42">
        <v>667</v>
      </c>
      <c r="I10" s="42">
        <f>D10*5/12</f>
        <v>833.33333333333337</v>
      </c>
    </row>
    <row r="11" spans="1:9" x14ac:dyDescent="0.25">
      <c r="A11" s="10" t="s">
        <v>57</v>
      </c>
      <c r="B11" s="10"/>
      <c r="C11" s="41" t="s">
        <v>58</v>
      </c>
      <c r="D11" s="42">
        <v>19500</v>
      </c>
      <c r="E11" s="42">
        <f>D11/6</f>
        <v>3250</v>
      </c>
      <c r="F11" s="42">
        <f>D11*2/6</f>
        <v>6500</v>
      </c>
      <c r="G11" s="42">
        <f>D11*3/6</f>
        <v>9750</v>
      </c>
      <c r="H11" s="42">
        <f>D11*4/6</f>
        <v>13000</v>
      </c>
      <c r="I11" s="42">
        <f>D11*5/6</f>
        <v>16250</v>
      </c>
    </row>
    <row r="12" spans="1:9" ht="27.6" x14ac:dyDescent="0.25">
      <c r="A12" s="10" t="s">
        <v>224</v>
      </c>
      <c r="B12" s="10"/>
      <c r="C12" s="41" t="s">
        <v>59</v>
      </c>
      <c r="D12" s="42">
        <v>6307</v>
      </c>
      <c r="E12" s="42">
        <f t="shared" ref="E12" si="2">D12/6</f>
        <v>1051.1666666666667</v>
      </c>
      <c r="F12" s="42">
        <f>D12*2/6</f>
        <v>2102.3333333333335</v>
      </c>
      <c r="G12" s="42">
        <f>D12*3/6</f>
        <v>3153.5</v>
      </c>
      <c r="H12" s="42">
        <f>D12*4/6</f>
        <v>4204.666666666667</v>
      </c>
      <c r="I12" s="42">
        <f>D12*5/6</f>
        <v>5255.833333333333</v>
      </c>
    </row>
    <row r="13" spans="1:9" x14ac:dyDescent="0.25">
      <c r="A13" s="10" t="s">
        <v>60</v>
      </c>
      <c r="B13" s="10"/>
      <c r="C13" s="41" t="s">
        <v>56</v>
      </c>
      <c r="D13" s="42">
        <v>1700</v>
      </c>
      <c r="E13" s="42">
        <f>D13/12</f>
        <v>141.66666666666666</v>
      </c>
      <c r="F13" s="42">
        <f t="shared" si="0"/>
        <v>283.33333333333331</v>
      </c>
      <c r="G13" s="42">
        <f>D13*3/12</f>
        <v>425</v>
      </c>
      <c r="H13" s="42">
        <v>567</v>
      </c>
      <c r="I13" s="42">
        <f>D13*5/12</f>
        <v>708.33333333333337</v>
      </c>
    </row>
    <row r="14" spans="1:9" ht="41.4" x14ac:dyDescent="0.25">
      <c r="A14" s="10" t="s">
        <v>61</v>
      </c>
      <c r="B14" s="10"/>
      <c r="C14" s="41" t="s">
        <v>200</v>
      </c>
      <c r="D14" s="42">
        <v>11747</v>
      </c>
      <c r="E14" s="42">
        <v>11747</v>
      </c>
      <c r="F14" s="42">
        <v>11747</v>
      </c>
      <c r="G14" s="42">
        <v>11747</v>
      </c>
      <c r="H14" s="42">
        <v>11747</v>
      </c>
      <c r="I14" s="42">
        <v>11747</v>
      </c>
    </row>
    <row r="15" spans="1:9" ht="27.6" x14ac:dyDescent="0.25">
      <c r="A15" s="10" t="s">
        <v>228</v>
      </c>
      <c r="B15" s="10"/>
      <c r="C15" s="41" t="s">
        <v>62</v>
      </c>
      <c r="D15" s="42">
        <v>3050</v>
      </c>
      <c r="E15" s="42">
        <v>3050</v>
      </c>
      <c r="F15" s="42">
        <f t="shared" ref="F15:F16" si="3">D15*2</f>
        <v>6100</v>
      </c>
      <c r="G15" s="42">
        <f t="shared" ref="G15:G22" si="4">D15*3</f>
        <v>9150</v>
      </c>
      <c r="H15" s="42">
        <v>12200</v>
      </c>
      <c r="I15" s="42">
        <f t="shared" ref="I15:I22" si="5">D15*5</f>
        <v>15250</v>
      </c>
    </row>
    <row r="16" spans="1:9" ht="27.6" x14ac:dyDescent="0.25">
      <c r="A16" s="10" t="s">
        <v>216</v>
      </c>
      <c r="B16" s="10"/>
      <c r="C16" s="41" t="s">
        <v>63</v>
      </c>
      <c r="D16" s="42">
        <v>3778</v>
      </c>
      <c r="E16" s="42">
        <v>3778</v>
      </c>
      <c r="F16" s="42">
        <f t="shared" si="3"/>
        <v>7556</v>
      </c>
      <c r="G16" s="42">
        <f t="shared" si="4"/>
        <v>11334</v>
      </c>
      <c r="H16" s="42">
        <v>15112</v>
      </c>
      <c r="I16" s="42">
        <f t="shared" si="5"/>
        <v>18890</v>
      </c>
    </row>
    <row r="17" spans="1:9" x14ac:dyDescent="0.25">
      <c r="A17" s="10" t="s">
        <v>223</v>
      </c>
      <c r="B17" s="10"/>
      <c r="C17" s="41" t="s">
        <v>64</v>
      </c>
      <c r="D17" s="42">
        <v>3100</v>
      </c>
      <c r="E17" s="42">
        <v>3100</v>
      </c>
      <c r="F17" s="42">
        <f>D17*2</f>
        <v>6200</v>
      </c>
      <c r="G17" s="42">
        <f t="shared" si="4"/>
        <v>9300</v>
      </c>
      <c r="H17" s="42">
        <v>12400</v>
      </c>
      <c r="I17" s="42">
        <f t="shared" si="5"/>
        <v>15500</v>
      </c>
    </row>
    <row r="18" spans="1:9" ht="27.6" x14ac:dyDescent="0.25">
      <c r="A18" s="10" t="s">
        <v>217</v>
      </c>
      <c r="B18" s="10"/>
      <c r="C18" s="41" t="s">
        <v>65</v>
      </c>
      <c r="D18" s="42">
        <v>2172</v>
      </c>
      <c r="E18" s="42">
        <v>2172</v>
      </c>
      <c r="F18" s="42">
        <f t="shared" ref="F18:F22" si="6">D18*2</f>
        <v>4344</v>
      </c>
      <c r="G18" s="42">
        <f t="shared" si="4"/>
        <v>6516</v>
      </c>
      <c r="H18" s="42">
        <v>8688</v>
      </c>
      <c r="I18" s="42">
        <f t="shared" si="5"/>
        <v>10860</v>
      </c>
    </row>
    <row r="19" spans="1:9" ht="27.6" x14ac:dyDescent="0.25">
      <c r="A19" s="10" t="s">
        <v>66</v>
      </c>
      <c r="B19" s="10"/>
      <c r="C19" s="41" t="s">
        <v>67</v>
      </c>
      <c r="D19" s="42">
        <v>3120</v>
      </c>
      <c r="E19" s="42">
        <v>3120</v>
      </c>
      <c r="F19" s="42">
        <f t="shared" si="6"/>
        <v>6240</v>
      </c>
      <c r="G19" s="42">
        <f t="shared" si="4"/>
        <v>9360</v>
      </c>
      <c r="H19" s="42">
        <v>12480</v>
      </c>
      <c r="I19" s="42">
        <f t="shared" si="5"/>
        <v>15600</v>
      </c>
    </row>
    <row r="20" spans="1:9" ht="27.6" x14ac:dyDescent="0.25">
      <c r="A20" s="10" t="s">
        <v>194</v>
      </c>
      <c r="B20" s="10"/>
      <c r="C20" s="41" t="s">
        <v>68</v>
      </c>
      <c r="D20" s="42">
        <v>7820</v>
      </c>
      <c r="E20" s="42">
        <v>7820</v>
      </c>
      <c r="F20" s="42">
        <f t="shared" si="6"/>
        <v>15640</v>
      </c>
      <c r="G20" s="42">
        <f t="shared" si="4"/>
        <v>23460</v>
      </c>
      <c r="H20" s="42">
        <v>31279</v>
      </c>
      <c r="I20" s="42">
        <f t="shared" si="5"/>
        <v>39100</v>
      </c>
    </row>
    <row r="21" spans="1:9" ht="27.6" x14ac:dyDescent="0.25">
      <c r="A21" s="10" t="s">
        <v>218</v>
      </c>
      <c r="B21" s="10"/>
      <c r="C21" s="41" t="s">
        <v>201</v>
      </c>
      <c r="D21" s="42">
        <v>4480</v>
      </c>
      <c r="E21" s="42">
        <v>4480</v>
      </c>
      <c r="F21" s="42">
        <f t="shared" si="6"/>
        <v>8960</v>
      </c>
      <c r="G21" s="42">
        <f>D21*2</f>
        <v>8960</v>
      </c>
      <c r="H21" s="42">
        <f>E21*2</f>
        <v>8960</v>
      </c>
      <c r="I21" s="42">
        <f>E21*2</f>
        <v>8960</v>
      </c>
    </row>
    <row r="22" spans="1:9" x14ac:dyDescent="0.25">
      <c r="A22" s="10" t="s">
        <v>219</v>
      </c>
      <c r="B22" s="10"/>
      <c r="C22" s="41" t="s">
        <v>202</v>
      </c>
      <c r="D22" s="42">
        <v>5516</v>
      </c>
      <c r="E22" s="42">
        <v>5516</v>
      </c>
      <c r="F22" s="42">
        <f t="shared" si="6"/>
        <v>11032</v>
      </c>
      <c r="G22" s="42">
        <f t="shared" si="4"/>
        <v>16548</v>
      </c>
      <c r="H22" s="42">
        <v>22064</v>
      </c>
      <c r="I22" s="42">
        <f t="shared" si="5"/>
        <v>27580</v>
      </c>
    </row>
    <row r="23" spans="1:9" x14ac:dyDescent="0.25">
      <c r="A23" s="10" t="s">
        <v>69</v>
      </c>
      <c r="B23" s="10"/>
      <c r="C23" s="41" t="s">
        <v>197</v>
      </c>
      <c r="D23" s="42">
        <f>350*4</f>
        <v>1400</v>
      </c>
      <c r="E23" s="42">
        <f>350*4</f>
        <v>1400</v>
      </c>
      <c r="F23" s="42">
        <f>D23*2*4</f>
        <v>11200</v>
      </c>
      <c r="G23" s="42">
        <f>D23*3*4</f>
        <v>16800</v>
      </c>
      <c r="H23" s="42">
        <f>E23*4*4</f>
        <v>22400</v>
      </c>
      <c r="I23" s="42">
        <f>D23*5*4</f>
        <v>28000</v>
      </c>
    </row>
    <row r="24" spans="1:9" x14ac:dyDescent="0.25">
      <c r="A24" s="10" t="s">
        <v>227</v>
      </c>
      <c r="B24" s="10"/>
      <c r="C24" s="41" t="s">
        <v>231</v>
      </c>
      <c r="D24" s="42">
        <v>3258</v>
      </c>
      <c r="E24" s="42">
        <v>3258</v>
      </c>
      <c r="F24" s="42">
        <f>D24*2</f>
        <v>6516</v>
      </c>
      <c r="G24" s="42">
        <f>D24*3</f>
        <v>9774</v>
      </c>
      <c r="H24" s="42">
        <f>6515*4</f>
        <v>26060</v>
      </c>
      <c r="I24" s="42">
        <v>6515</v>
      </c>
    </row>
    <row r="25" spans="1:9" ht="27.6" x14ac:dyDescent="0.25">
      <c r="A25" s="10" t="s">
        <v>220</v>
      </c>
      <c r="B25" s="10"/>
      <c r="C25" s="41" t="s">
        <v>196</v>
      </c>
      <c r="D25" s="42">
        <v>3064</v>
      </c>
      <c r="E25" s="42">
        <v>3064</v>
      </c>
      <c r="F25" s="42">
        <f>+D25*2</f>
        <v>6128</v>
      </c>
      <c r="G25" s="42">
        <f>D25*2</f>
        <v>6128</v>
      </c>
      <c r="H25" s="42">
        <v>6129</v>
      </c>
      <c r="I25" s="42">
        <f>6129*5</f>
        <v>30645</v>
      </c>
    </row>
    <row r="26" spans="1:9" ht="27.6" x14ac:dyDescent="0.25">
      <c r="A26" s="10" t="s">
        <v>70</v>
      </c>
      <c r="B26" s="10"/>
      <c r="C26" s="41" t="s">
        <v>195</v>
      </c>
      <c r="D26" s="42">
        <v>2998</v>
      </c>
      <c r="E26" s="42">
        <v>0</v>
      </c>
      <c r="F26" s="42">
        <v>2998</v>
      </c>
      <c r="G26" s="42">
        <f>D26*2</f>
        <v>5996</v>
      </c>
      <c r="H26" s="42">
        <v>5995</v>
      </c>
      <c r="I26" s="42">
        <v>5995</v>
      </c>
    </row>
    <row r="27" spans="1:9" x14ac:dyDescent="0.25">
      <c r="A27" s="72" t="s">
        <v>204</v>
      </c>
      <c r="B27" s="10"/>
      <c r="C27" s="41" t="s">
        <v>212</v>
      </c>
      <c r="D27" s="42">
        <v>5204</v>
      </c>
      <c r="E27" s="42">
        <v>0</v>
      </c>
      <c r="F27" s="42">
        <f>D27</f>
        <v>5204</v>
      </c>
      <c r="G27" s="42">
        <v>5204</v>
      </c>
      <c r="H27" s="42">
        <v>5204</v>
      </c>
      <c r="I27" s="42">
        <v>5204</v>
      </c>
    </row>
    <row r="28" spans="1:9" x14ac:dyDescent="0.25">
      <c r="A28" s="72" t="s">
        <v>205</v>
      </c>
      <c r="B28" s="10"/>
      <c r="C28" s="41" t="s">
        <v>212</v>
      </c>
      <c r="D28" s="42">
        <v>7970</v>
      </c>
      <c r="E28" s="42">
        <v>0</v>
      </c>
      <c r="F28" s="42">
        <f>D28</f>
        <v>7970</v>
      </c>
      <c r="G28" s="42">
        <v>7970</v>
      </c>
      <c r="H28" s="42">
        <v>7970</v>
      </c>
      <c r="I28" s="42">
        <v>7970</v>
      </c>
    </row>
    <row r="29" spans="1:9" x14ac:dyDescent="0.25">
      <c r="A29" s="72" t="s">
        <v>203</v>
      </c>
      <c r="B29" s="10"/>
      <c r="C29" s="41" t="s">
        <v>213</v>
      </c>
      <c r="D29" s="42">
        <v>14515</v>
      </c>
      <c r="E29" s="42">
        <v>0</v>
      </c>
      <c r="F29" s="42">
        <f>D29</f>
        <v>14515</v>
      </c>
      <c r="G29" s="42">
        <f>D29</f>
        <v>14515</v>
      </c>
      <c r="H29" s="42">
        <f t="shared" ref="H29:I29" si="7">F29</f>
        <v>14515</v>
      </c>
      <c r="I29" s="42">
        <f t="shared" si="7"/>
        <v>14515</v>
      </c>
    </row>
    <row r="30" spans="1:9" ht="41.4" x14ac:dyDescent="0.25">
      <c r="A30" s="10" t="s">
        <v>71</v>
      </c>
      <c r="B30" s="10"/>
      <c r="C30" s="41" t="s">
        <v>214</v>
      </c>
      <c r="D30" s="42">
        <v>120000</v>
      </c>
      <c r="E30" s="42">
        <f>D30/12</f>
        <v>10000</v>
      </c>
      <c r="F30" s="42">
        <f>D30/12</f>
        <v>10000</v>
      </c>
      <c r="G30" s="42">
        <v>10000</v>
      </c>
      <c r="H30" s="42">
        <v>10000</v>
      </c>
      <c r="I30" s="42">
        <v>10000</v>
      </c>
    </row>
    <row r="31" spans="1:9" ht="52.2" customHeight="1" x14ac:dyDescent="0.25">
      <c r="A31" s="43" t="s">
        <v>72</v>
      </c>
      <c r="B31" s="41"/>
      <c r="C31" s="41" t="s">
        <v>211</v>
      </c>
      <c r="D31" s="42">
        <v>35700</v>
      </c>
      <c r="E31" s="42">
        <f>D31/12</f>
        <v>2975</v>
      </c>
      <c r="F31" s="42">
        <v>2975</v>
      </c>
      <c r="G31" s="42">
        <f>2975</f>
        <v>2975</v>
      </c>
      <c r="H31" s="42">
        <v>2975</v>
      </c>
      <c r="I31" s="42">
        <v>2975</v>
      </c>
    </row>
    <row r="32" spans="1:9" ht="27.6" x14ac:dyDescent="0.25">
      <c r="A32" s="43" t="s">
        <v>206</v>
      </c>
      <c r="B32" s="41"/>
      <c r="C32" s="41" t="s">
        <v>215</v>
      </c>
      <c r="D32" s="42">
        <v>5000</v>
      </c>
      <c r="E32" s="42">
        <f>5000*4</f>
        <v>20000</v>
      </c>
      <c r="F32" s="42">
        <f>5000*4*2</f>
        <v>40000</v>
      </c>
      <c r="G32" s="42">
        <f>5000*4*3</f>
        <v>60000</v>
      </c>
      <c r="H32" s="42">
        <f>5000*4*4</f>
        <v>80000</v>
      </c>
      <c r="I32" s="42">
        <f>5000*4*5</f>
        <v>100000</v>
      </c>
    </row>
    <row r="33" spans="1:9" ht="27.6" x14ac:dyDescent="0.25">
      <c r="A33" s="44"/>
      <c r="B33" s="45" t="s">
        <v>73</v>
      </c>
      <c r="C33" s="46" t="s">
        <v>198</v>
      </c>
      <c r="D33" s="42">
        <v>18613</v>
      </c>
      <c r="E33" s="42">
        <v>18613</v>
      </c>
      <c r="F33" s="42">
        <v>23690</v>
      </c>
      <c r="G33" s="42">
        <v>28767</v>
      </c>
      <c r="H33" s="42">
        <v>38920</v>
      </c>
      <c r="I33" s="42">
        <v>44200</v>
      </c>
    </row>
    <row r="34" spans="1:9" ht="41.4" x14ac:dyDescent="0.25">
      <c r="A34" s="44"/>
      <c r="B34" s="45" t="s">
        <v>74</v>
      </c>
      <c r="C34" s="46" t="s">
        <v>198</v>
      </c>
      <c r="D34" s="42">
        <v>5366</v>
      </c>
      <c r="E34" s="42">
        <v>5366</v>
      </c>
      <c r="F34" s="42">
        <v>6830</v>
      </c>
      <c r="G34" s="42">
        <v>8293</v>
      </c>
      <c r="H34" s="42">
        <v>9757</v>
      </c>
      <c r="I34" s="42">
        <v>11158</v>
      </c>
    </row>
    <row r="35" spans="1:9" ht="40.200000000000003" customHeight="1" x14ac:dyDescent="0.25">
      <c r="A35" s="44"/>
      <c r="B35" s="45" t="s">
        <v>75</v>
      </c>
      <c r="C35" s="46" t="s">
        <v>198</v>
      </c>
      <c r="D35" s="42">
        <v>4541</v>
      </c>
      <c r="E35" s="42">
        <v>4541</v>
      </c>
      <c r="F35" s="42">
        <v>5779</v>
      </c>
      <c r="G35" s="42">
        <v>7018</v>
      </c>
      <c r="H35" s="42">
        <v>8256</v>
      </c>
      <c r="I35" s="42">
        <v>9494</v>
      </c>
    </row>
    <row r="36" spans="1:9" x14ac:dyDescent="0.25">
      <c r="A36" s="28" t="s">
        <v>76</v>
      </c>
      <c r="B36" s="47"/>
      <c r="C36" s="48"/>
      <c r="D36" s="49">
        <f>+SUM(D2:D35)</f>
        <v>462587</v>
      </c>
      <c r="E36" s="90">
        <f>+SUM(E35,E34,E33,E2:E31)</f>
        <v>121313.83333333333</v>
      </c>
      <c r="F36" s="90">
        <f>SUM(F35,F34,F33,F2:F31)</f>
        <v>223305.66666666663</v>
      </c>
      <c r="G36" s="90">
        <f>SUM(G35,G34,G33,G31,G2:G31)</f>
        <v>288839.5</v>
      </c>
      <c r="H36" s="90">
        <f>SUM(H35,H34,H33,H2:H31)</f>
        <v>363528.66666666669</v>
      </c>
      <c r="I36" s="90">
        <f>SUM(I35,I34,I33,I2:I31)</f>
        <v>424943.16666666669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DFFED-D5D4-44BE-8F66-EB70384F7825}">
  <dimension ref="A1:H66"/>
  <sheetViews>
    <sheetView topLeftCell="A52" workbookViewId="0">
      <selection activeCell="A4" sqref="A4"/>
    </sheetView>
  </sheetViews>
  <sheetFormatPr defaultColWidth="11.5546875" defaultRowHeight="14.4" x14ac:dyDescent="0.3"/>
  <cols>
    <col min="1" max="1" width="23.5546875" customWidth="1"/>
    <col min="2" max="2" width="21.44140625" customWidth="1"/>
    <col min="3" max="3" width="18.21875" customWidth="1"/>
    <col min="4" max="4" width="15.21875" customWidth="1"/>
    <col min="5" max="5" width="14.77734375" customWidth="1"/>
    <col min="6" max="6" width="17.77734375" customWidth="1"/>
    <col min="7" max="8" width="17.44140625" customWidth="1"/>
  </cols>
  <sheetData>
    <row r="1" spans="1:8" x14ac:dyDescent="0.3">
      <c r="A1" s="146" t="s">
        <v>77</v>
      </c>
      <c r="B1" s="147"/>
      <c r="C1" s="147"/>
      <c r="D1" s="147"/>
      <c r="E1" s="147"/>
      <c r="F1" s="147"/>
      <c r="G1" s="147"/>
      <c r="H1" s="147"/>
    </row>
    <row r="2" spans="1:8" ht="41.4" x14ac:dyDescent="0.3">
      <c r="A2" s="35" t="s">
        <v>34</v>
      </c>
      <c r="B2" s="11" t="s">
        <v>45</v>
      </c>
      <c r="C2" s="11" t="s">
        <v>78</v>
      </c>
      <c r="D2" s="11" t="s">
        <v>79</v>
      </c>
      <c r="E2" s="11" t="s">
        <v>36</v>
      </c>
      <c r="F2" s="11" t="s">
        <v>80</v>
      </c>
      <c r="G2" s="11" t="s">
        <v>81</v>
      </c>
      <c r="H2" s="11" t="s">
        <v>190</v>
      </c>
    </row>
    <row r="3" spans="1:8" x14ac:dyDescent="0.3">
      <c r="A3" s="16" t="s">
        <v>222</v>
      </c>
      <c r="B3" s="2" t="s">
        <v>23</v>
      </c>
      <c r="C3" s="23">
        <v>44627</v>
      </c>
      <c r="D3" s="23">
        <v>44627</v>
      </c>
      <c r="E3" s="23" t="s">
        <v>82</v>
      </c>
      <c r="F3" s="39">
        <f t="shared" ref="F3:F12" si="0">D3/12</f>
        <v>3718.9166666666665</v>
      </c>
      <c r="G3" s="39">
        <f>(D3/12)*2</f>
        <v>7437.833333333333</v>
      </c>
      <c r="H3" s="39">
        <f>(D3/12)*3</f>
        <v>11156.75</v>
      </c>
    </row>
    <row r="4" spans="1:8" x14ac:dyDescent="0.3">
      <c r="A4" s="16" t="s">
        <v>83</v>
      </c>
      <c r="B4" s="2" t="s">
        <v>23</v>
      </c>
      <c r="C4" s="23">
        <v>6663</v>
      </c>
      <c r="D4" s="23">
        <v>6663</v>
      </c>
      <c r="E4" s="23" t="s">
        <v>82</v>
      </c>
      <c r="F4" s="39">
        <f t="shared" si="0"/>
        <v>555.25</v>
      </c>
      <c r="G4" s="39">
        <f t="shared" ref="G4:G21" si="1">(D4/12)*2</f>
        <v>1110.5</v>
      </c>
      <c r="H4" s="39">
        <f t="shared" ref="H4:H21" si="2">(D4/12)*3</f>
        <v>1665.75</v>
      </c>
    </row>
    <row r="5" spans="1:8" x14ac:dyDescent="0.3">
      <c r="A5" s="16" t="s">
        <v>84</v>
      </c>
      <c r="B5" s="2" t="s">
        <v>85</v>
      </c>
      <c r="C5" s="23">
        <v>9225</v>
      </c>
      <c r="D5" s="23">
        <f>C5*3</f>
        <v>27675</v>
      </c>
      <c r="E5" s="23" t="s">
        <v>82</v>
      </c>
      <c r="F5" s="39">
        <f t="shared" si="0"/>
        <v>2306.25</v>
      </c>
      <c r="G5" s="39">
        <f t="shared" si="1"/>
        <v>4612.5</v>
      </c>
      <c r="H5" s="39">
        <f t="shared" si="2"/>
        <v>6918.75</v>
      </c>
    </row>
    <row r="6" spans="1:8" x14ac:dyDescent="0.3">
      <c r="A6" s="16" t="s">
        <v>86</v>
      </c>
      <c r="B6" s="2" t="s">
        <v>85</v>
      </c>
      <c r="C6" s="23">
        <v>9225</v>
      </c>
      <c r="D6" s="23">
        <f>C6*3</f>
        <v>27675</v>
      </c>
      <c r="E6" s="23" t="s">
        <v>82</v>
      </c>
      <c r="F6" s="39">
        <f t="shared" si="0"/>
        <v>2306.25</v>
      </c>
      <c r="G6" s="39">
        <f t="shared" si="1"/>
        <v>4612.5</v>
      </c>
      <c r="H6" s="39">
        <f t="shared" si="2"/>
        <v>6918.75</v>
      </c>
    </row>
    <row r="7" spans="1:8" x14ac:dyDescent="0.3">
      <c r="A7" s="16" t="s">
        <v>87</v>
      </c>
      <c r="B7" s="2" t="s">
        <v>23</v>
      </c>
      <c r="C7" s="23">
        <v>5002</v>
      </c>
      <c r="D7" s="23">
        <v>5002</v>
      </c>
      <c r="E7" s="23" t="s">
        <v>82</v>
      </c>
      <c r="F7" s="39">
        <f t="shared" si="0"/>
        <v>416.83333333333331</v>
      </c>
      <c r="G7" s="39">
        <f t="shared" si="1"/>
        <v>833.66666666666663</v>
      </c>
      <c r="H7" s="39">
        <f t="shared" si="2"/>
        <v>1250.5</v>
      </c>
    </row>
    <row r="8" spans="1:8" x14ac:dyDescent="0.3">
      <c r="A8" s="16" t="s">
        <v>88</v>
      </c>
      <c r="B8" s="2" t="s">
        <v>23</v>
      </c>
      <c r="C8" s="23">
        <v>1781</v>
      </c>
      <c r="D8" s="23">
        <v>1781</v>
      </c>
      <c r="E8" s="23" t="s">
        <v>82</v>
      </c>
      <c r="F8" s="39">
        <f t="shared" si="0"/>
        <v>148.41666666666666</v>
      </c>
      <c r="G8" s="39">
        <f t="shared" si="1"/>
        <v>296.83333333333331</v>
      </c>
      <c r="H8" s="39">
        <f t="shared" si="2"/>
        <v>445.25</v>
      </c>
    </row>
    <row r="9" spans="1:8" x14ac:dyDescent="0.3">
      <c r="A9" s="16" t="s">
        <v>89</v>
      </c>
      <c r="B9" s="2" t="s">
        <v>23</v>
      </c>
      <c r="C9" s="23">
        <v>445</v>
      </c>
      <c r="D9" s="23">
        <v>445</v>
      </c>
      <c r="E9" s="23" t="s">
        <v>82</v>
      </c>
      <c r="F9" s="39">
        <f t="shared" si="0"/>
        <v>37.083333333333336</v>
      </c>
      <c r="G9" s="39">
        <f t="shared" si="1"/>
        <v>74.166666666666671</v>
      </c>
      <c r="H9" s="39">
        <f t="shared" si="2"/>
        <v>111.25</v>
      </c>
    </row>
    <row r="10" spans="1:8" x14ac:dyDescent="0.3">
      <c r="A10" s="16" t="s">
        <v>90</v>
      </c>
      <c r="B10" s="2" t="s">
        <v>91</v>
      </c>
      <c r="C10" s="23">
        <v>10733</v>
      </c>
      <c r="D10" s="23">
        <v>10733</v>
      </c>
      <c r="E10" s="23" t="s">
        <v>82</v>
      </c>
      <c r="F10" s="39">
        <f t="shared" si="0"/>
        <v>894.41666666666663</v>
      </c>
      <c r="G10" s="39">
        <f t="shared" si="1"/>
        <v>1788.8333333333333</v>
      </c>
      <c r="H10" s="39">
        <f t="shared" si="2"/>
        <v>2683.25</v>
      </c>
    </row>
    <row r="11" spans="1:8" x14ac:dyDescent="0.3">
      <c r="A11" s="16" t="s">
        <v>92</v>
      </c>
      <c r="B11" s="2" t="s">
        <v>23</v>
      </c>
      <c r="C11" s="23">
        <v>923</v>
      </c>
      <c r="D11" s="23">
        <v>923</v>
      </c>
      <c r="E11" s="23" t="s">
        <v>82</v>
      </c>
      <c r="F11" s="39">
        <f t="shared" si="0"/>
        <v>76.916666666666671</v>
      </c>
      <c r="G11" s="39">
        <f t="shared" si="1"/>
        <v>153.83333333333334</v>
      </c>
      <c r="H11" s="39">
        <f t="shared" si="2"/>
        <v>230.75</v>
      </c>
    </row>
    <row r="12" spans="1:8" x14ac:dyDescent="0.3">
      <c r="A12" s="16" t="s">
        <v>93</v>
      </c>
      <c r="B12" s="2" t="s">
        <v>91</v>
      </c>
      <c r="C12" s="23">
        <v>4030</v>
      </c>
      <c r="D12" s="23">
        <v>4030</v>
      </c>
      <c r="E12" s="23" t="s">
        <v>82</v>
      </c>
      <c r="F12" s="39">
        <f t="shared" si="0"/>
        <v>335.83333333333331</v>
      </c>
      <c r="G12" s="39">
        <f t="shared" si="1"/>
        <v>671.66666666666663</v>
      </c>
      <c r="H12" s="39">
        <f t="shared" si="2"/>
        <v>1007.5</v>
      </c>
    </row>
    <row r="13" spans="1:8" ht="28.8" x14ac:dyDescent="0.3">
      <c r="A13" s="16" t="s">
        <v>94</v>
      </c>
      <c r="B13" s="2" t="s">
        <v>95</v>
      </c>
      <c r="C13" s="23">
        <v>2870</v>
      </c>
      <c r="D13" s="23">
        <f>C13*8</f>
        <v>22960</v>
      </c>
      <c r="E13" s="23" t="s">
        <v>82</v>
      </c>
      <c r="F13" s="39">
        <f>D13/12</f>
        <v>1913.3333333333333</v>
      </c>
      <c r="G13" s="39">
        <f t="shared" si="1"/>
        <v>3826.6666666666665</v>
      </c>
      <c r="H13" s="39">
        <f t="shared" si="2"/>
        <v>5740</v>
      </c>
    </row>
    <row r="14" spans="1:8" x14ac:dyDescent="0.3">
      <c r="A14" s="16" t="s">
        <v>96</v>
      </c>
      <c r="B14" s="2" t="s">
        <v>91</v>
      </c>
      <c r="C14" s="23">
        <v>7833</v>
      </c>
      <c r="D14" s="23">
        <v>7833</v>
      </c>
      <c r="E14" s="23" t="s">
        <v>82</v>
      </c>
      <c r="F14" s="39">
        <f>D14/12</f>
        <v>652.75</v>
      </c>
      <c r="G14" s="39">
        <f t="shared" si="1"/>
        <v>1305.5</v>
      </c>
      <c r="H14" s="39">
        <f t="shared" si="2"/>
        <v>1958.25</v>
      </c>
    </row>
    <row r="15" spans="1:8" ht="28.8" x14ac:dyDescent="0.3">
      <c r="A15" s="16" t="s">
        <v>97</v>
      </c>
      <c r="B15" s="2" t="s">
        <v>23</v>
      </c>
      <c r="C15" s="23">
        <v>6443</v>
      </c>
      <c r="D15" s="23">
        <v>6443</v>
      </c>
      <c r="E15" s="23" t="s">
        <v>82</v>
      </c>
      <c r="F15" s="39">
        <f t="shared" ref="F15:F17" si="3">D15/12</f>
        <v>536.91666666666663</v>
      </c>
      <c r="G15" s="39">
        <f t="shared" si="1"/>
        <v>1073.8333333333333</v>
      </c>
      <c r="H15" s="39">
        <f t="shared" si="2"/>
        <v>1610.75</v>
      </c>
    </row>
    <row r="16" spans="1:8" ht="28.8" x14ac:dyDescent="0.3">
      <c r="A16" s="16" t="s">
        <v>98</v>
      </c>
      <c r="B16" s="2" t="s">
        <v>23</v>
      </c>
      <c r="C16" s="23">
        <v>2994</v>
      </c>
      <c r="D16" s="23">
        <v>2994</v>
      </c>
      <c r="E16" s="23" t="s">
        <v>82</v>
      </c>
      <c r="F16" s="39">
        <f t="shared" si="3"/>
        <v>249.5</v>
      </c>
      <c r="G16" s="39">
        <f t="shared" si="1"/>
        <v>499</v>
      </c>
      <c r="H16" s="39">
        <f t="shared" si="2"/>
        <v>748.5</v>
      </c>
    </row>
    <row r="17" spans="1:8" x14ac:dyDescent="0.3">
      <c r="A17" s="16" t="s">
        <v>99</v>
      </c>
      <c r="B17" s="2" t="s">
        <v>23</v>
      </c>
      <c r="C17" s="23">
        <v>3229</v>
      </c>
      <c r="D17" s="23">
        <v>3229</v>
      </c>
      <c r="E17" s="23" t="s">
        <v>82</v>
      </c>
      <c r="F17" s="39">
        <f t="shared" si="3"/>
        <v>269.08333333333331</v>
      </c>
      <c r="G17" s="39">
        <f t="shared" si="1"/>
        <v>538.16666666666663</v>
      </c>
      <c r="H17" s="39">
        <f t="shared" si="2"/>
        <v>807.25</v>
      </c>
    </row>
    <row r="18" spans="1:8" ht="28.8" x14ac:dyDescent="0.3">
      <c r="A18" s="16" t="s">
        <v>100</v>
      </c>
      <c r="B18" s="2" t="s">
        <v>101</v>
      </c>
      <c r="C18" s="23">
        <v>8913</v>
      </c>
      <c r="D18" s="23">
        <f>C18*3</f>
        <v>26739</v>
      </c>
      <c r="E18" s="23" t="s">
        <v>82</v>
      </c>
      <c r="F18" s="39">
        <f>D18/12</f>
        <v>2228.25</v>
      </c>
      <c r="G18" s="39">
        <f t="shared" si="1"/>
        <v>4456.5</v>
      </c>
      <c r="H18" s="39">
        <f t="shared" si="2"/>
        <v>6684.75</v>
      </c>
    </row>
    <row r="19" spans="1:8" ht="28.8" x14ac:dyDescent="0.3">
      <c r="A19" s="16" t="s">
        <v>102</v>
      </c>
      <c r="B19" s="2" t="s">
        <v>103</v>
      </c>
      <c r="C19" s="23">
        <v>5463</v>
      </c>
      <c r="D19" s="23">
        <v>5463</v>
      </c>
      <c r="E19" s="23" t="s">
        <v>82</v>
      </c>
      <c r="F19" s="39">
        <f>D19/12</f>
        <v>455.25</v>
      </c>
      <c r="G19" s="39">
        <f t="shared" si="1"/>
        <v>910.5</v>
      </c>
      <c r="H19" s="39">
        <f t="shared" si="2"/>
        <v>1365.75</v>
      </c>
    </row>
    <row r="20" spans="1:8" x14ac:dyDescent="0.3">
      <c r="A20" s="16" t="s">
        <v>104</v>
      </c>
      <c r="B20" s="2" t="s">
        <v>23</v>
      </c>
      <c r="C20" s="23">
        <v>19738</v>
      </c>
      <c r="D20" s="23">
        <v>19738</v>
      </c>
      <c r="E20" s="23" t="s">
        <v>82</v>
      </c>
      <c r="F20" s="39">
        <f t="shared" ref="F20:F21" si="4">D20/12</f>
        <v>1644.8333333333333</v>
      </c>
      <c r="G20" s="39">
        <f t="shared" si="1"/>
        <v>3289.6666666666665</v>
      </c>
      <c r="H20" s="39">
        <f t="shared" si="2"/>
        <v>4934.5</v>
      </c>
    </row>
    <row r="21" spans="1:8" x14ac:dyDescent="0.3">
      <c r="A21" s="16" t="s">
        <v>105</v>
      </c>
      <c r="B21" s="2" t="s">
        <v>23</v>
      </c>
      <c r="C21" s="23">
        <v>19800</v>
      </c>
      <c r="D21" s="23">
        <v>19800</v>
      </c>
      <c r="E21" s="23" t="s">
        <v>82</v>
      </c>
      <c r="F21" s="39">
        <f t="shared" si="4"/>
        <v>1650</v>
      </c>
      <c r="G21" s="39">
        <f t="shared" si="1"/>
        <v>3300</v>
      </c>
      <c r="H21" s="39">
        <f t="shared" si="2"/>
        <v>4950</v>
      </c>
    </row>
    <row r="22" spans="1:8" x14ac:dyDescent="0.3">
      <c r="A22" s="38" t="s">
        <v>44</v>
      </c>
      <c r="B22" s="37"/>
      <c r="C22" s="37"/>
      <c r="D22" s="37"/>
      <c r="E22" s="37"/>
      <c r="F22" s="87">
        <f>SUM(F3:F21)</f>
        <v>20396.083333333332</v>
      </c>
      <c r="G22" s="87">
        <f>SUM(G3:G21)</f>
        <v>40792.166666666664</v>
      </c>
      <c r="H22" s="87">
        <f>SUM(H3:H21)</f>
        <v>61188.25</v>
      </c>
    </row>
    <row r="24" spans="1:8" x14ac:dyDescent="0.3">
      <c r="A24" s="148" t="s">
        <v>106</v>
      </c>
      <c r="B24" s="149"/>
      <c r="C24" s="149"/>
      <c r="D24" s="149"/>
      <c r="E24" s="149"/>
      <c r="F24" s="149"/>
      <c r="G24" s="149"/>
      <c r="H24" s="149"/>
    </row>
    <row r="25" spans="1:8" ht="41.4" x14ac:dyDescent="0.3">
      <c r="A25" s="22" t="s">
        <v>34</v>
      </c>
      <c r="B25" s="22" t="s">
        <v>45</v>
      </c>
      <c r="C25" s="11" t="s">
        <v>78</v>
      </c>
      <c r="D25" s="11" t="s">
        <v>79</v>
      </c>
      <c r="E25" s="22" t="s">
        <v>36</v>
      </c>
      <c r="F25" s="11" t="s">
        <v>80</v>
      </c>
      <c r="G25" s="11" t="s">
        <v>107</v>
      </c>
      <c r="H25" s="11" t="s">
        <v>191</v>
      </c>
    </row>
    <row r="26" spans="1:8" x14ac:dyDescent="0.3">
      <c r="A26" s="16" t="s">
        <v>222</v>
      </c>
      <c r="B26" s="2" t="s">
        <v>23</v>
      </c>
      <c r="C26" s="23">
        <v>44627</v>
      </c>
      <c r="D26" s="23">
        <v>44627</v>
      </c>
      <c r="E26" s="23" t="s">
        <v>82</v>
      </c>
      <c r="F26" s="39">
        <f>D26/12</f>
        <v>3718.9166666666665</v>
      </c>
      <c r="G26" s="39">
        <f>(D26/12)*2</f>
        <v>7437.833333333333</v>
      </c>
      <c r="H26" s="39">
        <f>(D26/12)*3</f>
        <v>11156.75</v>
      </c>
    </row>
    <row r="27" spans="1:8" x14ac:dyDescent="0.3">
      <c r="A27" s="16" t="s">
        <v>83</v>
      </c>
      <c r="B27" s="2" t="s">
        <v>23</v>
      </c>
      <c r="C27" s="23">
        <v>6663</v>
      </c>
      <c r="D27" s="23">
        <v>6663</v>
      </c>
      <c r="E27" s="23" t="s">
        <v>82</v>
      </c>
      <c r="F27" s="39">
        <f t="shared" ref="F27:F44" si="5">D27/12</f>
        <v>555.25</v>
      </c>
      <c r="G27" s="39">
        <f t="shared" ref="G27:G44" si="6">(D27/12)*2</f>
        <v>1110.5</v>
      </c>
      <c r="H27" s="39">
        <f t="shared" ref="H27:H44" si="7">(D27/12)*3</f>
        <v>1665.75</v>
      </c>
    </row>
    <row r="28" spans="1:8" x14ac:dyDescent="0.3">
      <c r="A28" s="16" t="s">
        <v>84</v>
      </c>
      <c r="B28" s="2" t="s">
        <v>85</v>
      </c>
      <c r="C28" s="23">
        <v>9225</v>
      </c>
      <c r="D28" s="23">
        <f>C28*3</f>
        <v>27675</v>
      </c>
      <c r="E28" s="23" t="s">
        <v>82</v>
      </c>
      <c r="F28" s="39">
        <f t="shared" si="5"/>
        <v>2306.25</v>
      </c>
      <c r="G28" s="39">
        <f t="shared" si="6"/>
        <v>4612.5</v>
      </c>
      <c r="H28" s="39">
        <f t="shared" si="7"/>
        <v>6918.75</v>
      </c>
    </row>
    <row r="29" spans="1:8" x14ac:dyDescent="0.3">
      <c r="A29" s="16" t="s">
        <v>86</v>
      </c>
      <c r="B29" s="2" t="s">
        <v>85</v>
      </c>
      <c r="C29" s="23">
        <v>9225</v>
      </c>
      <c r="D29" s="23">
        <f>C29*3</f>
        <v>27675</v>
      </c>
      <c r="E29" s="23" t="s">
        <v>82</v>
      </c>
      <c r="F29" s="39">
        <f t="shared" si="5"/>
        <v>2306.25</v>
      </c>
      <c r="G29" s="39">
        <f t="shared" si="6"/>
        <v>4612.5</v>
      </c>
      <c r="H29" s="39">
        <f t="shared" si="7"/>
        <v>6918.75</v>
      </c>
    </row>
    <row r="30" spans="1:8" x14ac:dyDescent="0.3">
      <c r="A30" s="16" t="s">
        <v>87</v>
      </c>
      <c r="B30" s="2" t="s">
        <v>23</v>
      </c>
      <c r="C30" s="23">
        <v>5002</v>
      </c>
      <c r="D30" s="23">
        <v>5002</v>
      </c>
      <c r="E30" s="23" t="s">
        <v>82</v>
      </c>
      <c r="F30" s="39">
        <f t="shared" si="5"/>
        <v>416.83333333333331</v>
      </c>
      <c r="G30" s="39">
        <f t="shared" si="6"/>
        <v>833.66666666666663</v>
      </c>
      <c r="H30" s="39">
        <f t="shared" si="7"/>
        <v>1250.5</v>
      </c>
    </row>
    <row r="31" spans="1:8" x14ac:dyDescent="0.3">
      <c r="A31" s="16" t="s">
        <v>88</v>
      </c>
      <c r="B31" s="2" t="s">
        <v>23</v>
      </c>
      <c r="C31" s="23">
        <v>1781</v>
      </c>
      <c r="D31" s="23">
        <v>1781</v>
      </c>
      <c r="E31" s="23" t="s">
        <v>82</v>
      </c>
      <c r="F31" s="39">
        <f t="shared" si="5"/>
        <v>148.41666666666666</v>
      </c>
      <c r="G31" s="39">
        <f t="shared" si="6"/>
        <v>296.83333333333331</v>
      </c>
      <c r="H31" s="39">
        <f t="shared" si="7"/>
        <v>445.25</v>
      </c>
    </row>
    <row r="32" spans="1:8" x14ac:dyDescent="0.3">
      <c r="A32" s="16" t="s">
        <v>89</v>
      </c>
      <c r="B32" s="2" t="s">
        <v>23</v>
      </c>
      <c r="C32" s="23">
        <v>496</v>
      </c>
      <c r="D32" s="23">
        <v>496</v>
      </c>
      <c r="E32" s="23" t="s">
        <v>82</v>
      </c>
      <c r="F32" s="39">
        <f t="shared" si="5"/>
        <v>41.333333333333336</v>
      </c>
      <c r="G32" s="39">
        <f t="shared" si="6"/>
        <v>82.666666666666671</v>
      </c>
      <c r="H32" s="39">
        <f t="shared" si="7"/>
        <v>124</v>
      </c>
    </row>
    <row r="33" spans="1:8" x14ac:dyDescent="0.3">
      <c r="A33" s="16" t="s">
        <v>90</v>
      </c>
      <c r="B33" s="2" t="s">
        <v>91</v>
      </c>
      <c r="C33" s="23">
        <v>10733</v>
      </c>
      <c r="D33" s="23">
        <v>10733</v>
      </c>
      <c r="E33" s="23" t="s">
        <v>82</v>
      </c>
      <c r="F33" s="39">
        <f t="shared" si="5"/>
        <v>894.41666666666663</v>
      </c>
      <c r="G33" s="39">
        <f t="shared" si="6"/>
        <v>1788.8333333333333</v>
      </c>
      <c r="H33" s="39">
        <f t="shared" si="7"/>
        <v>2683.25</v>
      </c>
    </row>
    <row r="34" spans="1:8" x14ac:dyDescent="0.3">
      <c r="A34" s="16" t="s">
        <v>92</v>
      </c>
      <c r="B34" s="2" t="s">
        <v>23</v>
      </c>
      <c r="C34" s="23">
        <v>923</v>
      </c>
      <c r="D34" s="23">
        <v>923</v>
      </c>
      <c r="E34" s="23" t="s">
        <v>82</v>
      </c>
      <c r="F34" s="39">
        <f t="shared" si="5"/>
        <v>76.916666666666671</v>
      </c>
      <c r="G34" s="39">
        <f t="shared" si="6"/>
        <v>153.83333333333334</v>
      </c>
      <c r="H34" s="39">
        <f t="shared" si="7"/>
        <v>230.75</v>
      </c>
    </row>
    <row r="35" spans="1:8" x14ac:dyDescent="0.3">
      <c r="A35" s="16" t="s">
        <v>93</v>
      </c>
      <c r="B35" s="2" t="s">
        <v>91</v>
      </c>
      <c r="C35" s="23">
        <v>4600</v>
      </c>
      <c r="D35" s="23">
        <v>4600</v>
      </c>
      <c r="E35" s="23" t="s">
        <v>82</v>
      </c>
      <c r="F35" s="39">
        <f t="shared" si="5"/>
        <v>383.33333333333331</v>
      </c>
      <c r="G35" s="39">
        <f t="shared" si="6"/>
        <v>766.66666666666663</v>
      </c>
      <c r="H35" s="39">
        <f t="shared" si="7"/>
        <v>1150</v>
      </c>
    </row>
    <row r="36" spans="1:8" x14ac:dyDescent="0.3">
      <c r="A36" s="16" t="s">
        <v>108</v>
      </c>
      <c r="B36" s="2" t="s">
        <v>109</v>
      </c>
      <c r="C36" s="23">
        <v>2870</v>
      </c>
      <c r="D36" s="23">
        <f>C36*4</f>
        <v>11480</v>
      </c>
      <c r="E36" s="23" t="s">
        <v>82</v>
      </c>
      <c r="F36" s="39">
        <f t="shared" si="5"/>
        <v>956.66666666666663</v>
      </c>
      <c r="G36" s="39">
        <f t="shared" si="6"/>
        <v>1913.3333333333333</v>
      </c>
      <c r="H36" s="39">
        <f t="shared" si="7"/>
        <v>2870</v>
      </c>
    </row>
    <row r="37" spans="1:8" ht="28.8" x14ac:dyDescent="0.3">
      <c r="A37" s="16" t="s">
        <v>94</v>
      </c>
      <c r="B37" s="2" t="s">
        <v>95</v>
      </c>
      <c r="C37" s="23">
        <v>2870</v>
      </c>
      <c r="D37" s="23">
        <f>C37*8</f>
        <v>22960</v>
      </c>
      <c r="E37" s="23" t="s">
        <v>82</v>
      </c>
      <c r="F37" s="39">
        <f t="shared" si="5"/>
        <v>1913.3333333333333</v>
      </c>
      <c r="G37" s="39">
        <f t="shared" si="6"/>
        <v>3826.6666666666665</v>
      </c>
      <c r="H37" s="39">
        <f t="shared" si="7"/>
        <v>5740</v>
      </c>
    </row>
    <row r="38" spans="1:8" ht="28.8" x14ac:dyDescent="0.3">
      <c r="A38" s="16" t="s">
        <v>110</v>
      </c>
      <c r="B38" s="2" t="s">
        <v>111</v>
      </c>
      <c r="C38" s="23">
        <v>2870</v>
      </c>
      <c r="D38" s="23">
        <f>C38*2</f>
        <v>5740</v>
      </c>
      <c r="E38" s="23" t="s">
        <v>82</v>
      </c>
      <c r="F38" s="39">
        <f t="shared" si="5"/>
        <v>478.33333333333331</v>
      </c>
      <c r="G38" s="39">
        <f t="shared" si="6"/>
        <v>956.66666666666663</v>
      </c>
      <c r="H38" s="39">
        <f t="shared" si="7"/>
        <v>1435</v>
      </c>
    </row>
    <row r="39" spans="1:8" x14ac:dyDescent="0.3">
      <c r="A39" s="16" t="s">
        <v>112</v>
      </c>
      <c r="B39" s="2" t="s">
        <v>113</v>
      </c>
      <c r="C39" s="23">
        <v>5600</v>
      </c>
      <c r="D39" s="23">
        <v>5600</v>
      </c>
      <c r="E39" s="23" t="s">
        <v>82</v>
      </c>
      <c r="F39" s="39">
        <f t="shared" si="5"/>
        <v>466.66666666666669</v>
      </c>
      <c r="G39" s="39">
        <f t="shared" si="6"/>
        <v>933.33333333333337</v>
      </c>
      <c r="H39" s="39">
        <f t="shared" si="7"/>
        <v>1400</v>
      </c>
    </row>
    <row r="40" spans="1:8" ht="28.8" x14ac:dyDescent="0.3">
      <c r="A40" s="16" t="s">
        <v>97</v>
      </c>
      <c r="B40" s="2" t="s">
        <v>23</v>
      </c>
      <c r="C40" s="23">
        <v>6443</v>
      </c>
      <c r="D40" s="23">
        <v>6443</v>
      </c>
      <c r="E40" s="23" t="s">
        <v>82</v>
      </c>
      <c r="F40" s="39">
        <f t="shared" si="5"/>
        <v>536.91666666666663</v>
      </c>
      <c r="G40" s="39">
        <f t="shared" si="6"/>
        <v>1073.8333333333333</v>
      </c>
      <c r="H40" s="39">
        <f t="shared" si="7"/>
        <v>1610.75</v>
      </c>
    </row>
    <row r="41" spans="1:8" ht="28.8" x14ac:dyDescent="0.3">
      <c r="A41" s="16" t="s">
        <v>98</v>
      </c>
      <c r="B41" s="2" t="s">
        <v>23</v>
      </c>
      <c r="C41" s="23">
        <v>2994</v>
      </c>
      <c r="D41" s="23">
        <v>2994</v>
      </c>
      <c r="E41" s="23" t="s">
        <v>82</v>
      </c>
      <c r="F41" s="39">
        <f t="shared" si="5"/>
        <v>249.5</v>
      </c>
      <c r="G41" s="39">
        <f t="shared" si="6"/>
        <v>499</v>
      </c>
      <c r="H41" s="39">
        <f t="shared" si="7"/>
        <v>748.5</v>
      </c>
    </row>
    <row r="42" spans="1:8" x14ac:dyDescent="0.3">
      <c r="A42" s="16" t="s">
        <v>114</v>
      </c>
      <c r="B42" s="2" t="s">
        <v>23</v>
      </c>
      <c r="C42" s="23">
        <v>4437</v>
      </c>
      <c r="D42" s="23">
        <v>4437</v>
      </c>
      <c r="E42" s="23" t="s">
        <v>82</v>
      </c>
      <c r="F42" s="39">
        <f t="shared" si="5"/>
        <v>369.75</v>
      </c>
      <c r="G42" s="39">
        <f t="shared" si="6"/>
        <v>739.5</v>
      </c>
      <c r="H42" s="39">
        <f t="shared" si="7"/>
        <v>1109.25</v>
      </c>
    </row>
    <row r="43" spans="1:8" x14ac:dyDescent="0.3">
      <c r="A43" s="16" t="s">
        <v>115</v>
      </c>
      <c r="B43" s="2" t="s">
        <v>113</v>
      </c>
      <c r="C43" s="23">
        <v>5600</v>
      </c>
      <c r="D43" s="23">
        <v>5600</v>
      </c>
      <c r="E43" s="23" t="s">
        <v>82</v>
      </c>
      <c r="F43" s="39">
        <f t="shared" si="5"/>
        <v>466.66666666666669</v>
      </c>
      <c r="G43" s="39">
        <f t="shared" si="6"/>
        <v>933.33333333333337</v>
      </c>
      <c r="H43" s="39">
        <f t="shared" si="7"/>
        <v>1400</v>
      </c>
    </row>
    <row r="44" spans="1:8" x14ac:dyDescent="0.3">
      <c r="A44" s="26" t="s">
        <v>116</v>
      </c>
      <c r="B44" s="27" t="s">
        <v>23</v>
      </c>
      <c r="C44" s="36">
        <v>7069</v>
      </c>
      <c r="D44" s="36">
        <v>7069</v>
      </c>
      <c r="E44" s="23" t="s">
        <v>82</v>
      </c>
      <c r="F44" s="39">
        <f t="shared" si="5"/>
        <v>589.08333333333337</v>
      </c>
      <c r="G44" s="39">
        <f t="shared" si="6"/>
        <v>1178.1666666666667</v>
      </c>
      <c r="H44" s="39">
        <f t="shared" si="7"/>
        <v>1767.25</v>
      </c>
    </row>
    <row r="45" spans="1:8" x14ac:dyDescent="0.3">
      <c r="A45" s="38" t="s">
        <v>44</v>
      </c>
      <c r="B45" s="37"/>
      <c r="C45" s="37"/>
      <c r="D45" s="37"/>
      <c r="E45" s="37"/>
      <c r="F45" s="88">
        <f>SUM(F26:F44)</f>
        <v>16874.833333333332</v>
      </c>
      <c r="G45" s="88">
        <f>SUM(G26:G44)</f>
        <v>33749.666666666664</v>
      </c>
      <c r="H45" s="88">
        <f>SUM(H26:H44)</f>
        <v>50624.5</v>
      </c>
    </row>
    <row r="47" spans="1:8" x14ac:dyDescent="0.3">
      <c r="A47" s="148" t="s">
        <v>117</v>
      </c>
      <c r="B47" s="149"/>
      <c r="C47" s="149"/>
      <c r="D47" s="149"/>
      <c r="E47" s="149"/>
      <c r="F47" s="149"/>
      <c r="G47" s="149"/>
      <c r="H47" s="149"/>
    </row>
    <row r="48" spans="1:8" ht="41.4" x14ac:dyDescent="0.3">
      <c r="A48" s="12" t="s">
        <v>34</v>
      </c>
      <c r="B48" s="12" t="s">
        <v>45</v>
      </c>
      <c r="C48" s="11" t="s">
        <v>78</v>
      </c>
      <c r="D48" s="11" t="s">
        <v>79</v>
      </c>
      <c r="E48" s="22" t="s">
        <v>36</v>
      </c>
      <c r="F48" s="11" t="s">
        <v>80</v>
      </c>
      <c r="G48" s="11" t="s">
        <v>107</v>
      </c>
      <c r="H48" s="11" t="s">
        <v>191</v>
      </c>
    </row>
    <row r="49" spans="1:8" x14ac:dyDescent="0.3">
      <c r="A49" s="16" t="s">
        <v>222</v>
      </c>
      <c r="B49" s="2" t="s">
        <v>23</v>
      </c>
      <c r="C49" s="23">
        <v>44626.67</v>
      </c>
      <c r="D49" s="23">
        <v>44626.67</v>
      </c>
      <c r="E49" s="23" t="s">
        <v>82</v>
      </c>
      <c r="F49" s="39">
        <f>D49/12</f>
        <v>3718.8891666666664</v>
      </c>
      <c r="G49" s="39">
        <f>(D49/12)*2</f>
        <v>7437.7783333333327</v>
      </c>
      <c r="H49" s="39">
        <f>(D49/12)*3</f>
        <v>11156.6675</v>
      </c>
    </row>
    <row r="50" spans="1:8" x14ac:dyDescent="0.3">
      <c r="A50" s="16" t="s">
        <v>83</v>
      </c>
      <c r="B50" s="2" t="s">
        <v>23</v>
      </c>
      <c r="C50" s="23">
        <v>6663.33</v>
      </c>
      <c r="D50" s="23">
        <v>6663.33</v>
      </c>
      <c r="E50" s="23" t="s">
        <v>82</v>
      </c>
      <c r="F50" s="39">
        <f t="shared" ref="F50:F62" si="8">D50/12</f>
        <v>555.27750000000003</v>
      </c>
      <c r="G50" s="39">
        <f t="shared" ref="G50:G62" si="9">(D50/12)*2</f>
        <v>1110.5550000000001</v>
      </c>
      <c r="H50" s="39">
        <f t="shared" ref="H50:H62" si="10">(D50/12)*3</f>
        <v>1665.8325</v>
      </c>
    </row>
    <row r="51" spans="1:8" x14ac:dyDescent="0.3">
      <c r="A51" s="16" t="s">
        <v>84</v>
      </c>
      <c r="B51" s="2" t="s">
        <v>85</v>
      </c>
      <c r="C51" s="23">
        <v>9225</v>
      </c>
      <c r="D51" s="23">
        <f>C51*3</f>
        <v>27675</v>
      </c>
      <c r="E51" s="23" t="s">
        <v>82</v>
      </c>
      <c r="F51" s="39">
        <f t="shared" si="8"/>
        <v>2306.25</v>
      </c>
      <c r="G51" s="39">
        <f t="shared" si="9"/>
        <v>4612.5</v>
      </c>
      <c r="H51" s="39">
        <f t="shared" si="10"/>
        <v>6918.75</v>
      </c>
    </row>
    <row r="52" spans="1:8" x14ac:dyDescent="0.3">
      <c r="A52" s="16" t="s">
        <v>86</v>
      </c>
      <c r="B52" s="2" t="s">
        <v>85</v>
      </c>
      <c r="C52" s="23">
        <v>9225</v>
      </c>
      <c r="D52" s="23">
        <f>C52*3</f>
        <v>27675</v>
      </c>
      <c r="E52" s="23" t="s">
        <v>82</v>
      </c>
      <c r="F52" s="39">
        <f t="shared" si="8"/>
        <v>2306.25</v>
      </c>
      <c r="G52" s="39">
        <f t="shared" si="9"/>
        <v>4612.5</v>
      </c>
      <c r="H52" s="39">
        <f t="shared" si="10"/>
        <v>6918.75</v>
      </c>
    </row>
    <row r="53" spans="1:8" x14ac:dyDescent="0.3">
      <c r="A53" s="16" t="s">
        <v>87</v>
      </c>
      <c r="B53" s="2" t="s">
        <v>23</v>
      </c>
      <c r="C53" s="23">
        <v>5002</v>
      </c>
      <c r="D53" s="23">
        <v>5002</v>
      </c>
      <c r="E53" s="23" t="s">
        <v>82</v>
      </c>
      <c r="F53" s="39">
        <f t="shared" si="8"/>
        <v>416.83333333333331</v>
      </c>
      <c r="G53" s="39">
        <f t="shared" si="9"/>
        <v>833.66666666666663</v>
      </c>
      <c r="H53" s="39">
        <f t="shared" si="10"/>
        <v>1250.5</v>
      </c>
    </row>
    <row r="54" spans="1:8" x14ac:dyDescent="0.3">
      <c r="A54" s="16" t="s">
        <v>88</v>
      </c>
      <c r="B54" s="2" t="s">
        <v>23</v>
      </c>
      <c r="C54" s="23">
        <v>1780.67</v>
      </c>
      <c r="D54" s="23">
        <v>1780.67</v>
      </c>
      <c r="E54" s="23" t="s">
        <v>82</v>
      </c>
      <c r="F54" s="39">
        <f t="shared" si="8"/>
        <v>148.38916666666668</v>
      </c>
      <c r="G54" s="39">
        <f t="shared" si="9"/>
        <v>296.77833333333336</v>
      </c>
      <c r="H54" s="39">
        <f t="shared" si="10"/>
        <v>445.16750000000002</v>
      </c>
    </row>
    <row r="55" spans="1:8" x14ac:dyDescent="0.3">
      <c r="A55" s="16" t="s">
        <v>89</v>
      </c>
      <c r="B55" s="2" t="s">
        <v>23</v>
      </c>
      <c r="C55" s="23">
        <v>445</v>
      </c>
      <c r="D55" s="23">
        <v>445</v>
      </c>
      <c r="E55" s="23" t="s">
        <v>82</v>
      </c>
      <c r="F55" s="39">
        <f t="shared" si="8"/>
        <v>37.083333333333336</v>
      </c>
      <c r="G55" s="39">
        <f t="shared" si="9"/>
        <v>74.166666666666671</v>
      </c>
      <c r="H55" s="39">
        <f t="shared" si="10"/>
        <v>111.25</v>
      </c>
    </row>
    <row r="56" spans="1:8" x14ac:dyDescent="0.3">
      <c r="A56" s="16" t="s">
        <v>90</v>
      </c>
      <c r="B56" s="2" t="s">
        <v>91</v>
      </c>
      <c r="C56" s="23">
        <v>10732.67</v>
      </c>
      <c r="D56" s="23">
        <v>10732.67</v>
      </c>
      <c r="E56" s="23" t="s">
        <v>82</v>
      </c>
      <c r="F56" s="39">
        <f t="shared" si="8"/>
        <v>894.38916666666671</v>
      </c>
      <c r="G56" s="39">
        <f t="shared" si="9"/>
        <v>1788.7783333333334</v>
      </c>
      <c r="H56" s="39">
        <f t="shared" si="10"/>
        <v>2683.1675</v>
      </c>
    </row>
    <row r="57" spans="1:8" x14ac:dyDescent="0.3">
      <c r="A57" s="16" t="s">
        <v>118</v>
      </c>
      <c r="B57" s="2" t="s">
        <v>23</v>
      </c>
      <c r="C57" s="23">
        <v>923</v>
      </c>
      <c r="D57" s="23">
        <v>923</v>
      </c>
      <c r="E57" s="23" t="s">
        <v>82</v>
      </c>
      <c r="F57" s="39">
        <f t="shared" si="8"/>
        <v>76.916666666666671</v>
      </c>
      <c r="G57" s="39">
        <f t="shared" si="9"/>
        <v>153.83333333333334</v>
      </c>
      <c r="H57" s="39">
        <f t="shared" si="10"/>
        <v>230.75</v>
      </c>
    </row>
    <row r="58" spans="1:8" x14ac:dyDescent="0.3">
      <c r="A58" s="16" t="s">
        <v>108</v>
      </c>
      <c r="B58" s="2" t="s">
        <v>119</v>
      </c>
      <c r="C58" s="23">
        <v>2870</v>
      </c>
      <c r="D58" s="23">
        <f>C58*5</f>
        <v>14350</v>
      </c>
      <c r="E58" s="23" t="s">
        <v>82</v>
      </c>
      <c r="F58" s="39">
        <f t="shared" si="8"/>
        <v>1195.8333333333333</v>
      </c>
      <c r="G58" s="39">
        <f t="shared" si="9"/>
        <v>2391.6666666666665</v>
      </c>
      <c r="H58" s="39">
        <f t="shared" si="10"/>
        <v>3587.5</v>
      </c>
    </row>
    <row r="59" spans="1:8" ht="28.8" x14ac:dyDescent="0.3">
      <c r="A59" s="16" t="s">
        <v>94</v>
      </c>
      <c r="B59" s="2" t="s">
        <v>119</v>
      </c>
      <c r="C59" s="23">
        <v>2870</v>
      </c>
      <c r="D59" s="23">
        <f>C59*5</f>
        <v>14350</v>
      </c>
      <c r="E59" s="23" t="s">
        <v>82</v>
      </c>
      <c r="F59" s="39">
        <f t="shared" si="8"/>
        <v>1195.8333333333333</v>
      </c>
      <c r="G59" s="39">
        <f t="shared" si="9"/>
        <v>2391.6666666666665</v>
      </c>
      <c r="H59" s="39">
        <f t="shared" si="10"/>
        <v>3587.5</v>
      </c>
    </row>
    <row r="60" spans="1:8" x14ac:dyDescent="0.3">
      <c r="A60" s="16" t="s">
        <v>112</v>
      </c>
      <c r="B60" s="2" t="s">
        <v>85</v>
      </c>
      <c r="C60" s="23">
        <v>5600</v>
      </c>
      <c r="D60" s="23">
        <f>C60*3</f>
        <v>16800</v>
      </c>
      <c r="E60" s="23" t="s">
        <v>82</v>
      </c>
      <c r="F60" s="39">
        <f t="shared" si="8"/>
        <v>1400</v>
      </c>
      <c r="G60" s="39">
        <f t="shared" si="9"/>
        <v>2800</v>
      </c>
      <c r="H60" s="39">
        <f t="shared" si="10"/>
        <v>4200</v>
      </c>
    </row>
    <row r="61" spans="1:8" x14ac:dyDescent="0.3">
      <c r="A61" s="16" t="s">
        <v>115</v>
      </c>
      <c r="B61" s="2" t="s">
        <v>85</v>
      </c>
      <c r="C61" s="23">
        <v>5600</v>
      </c>
      <c r="D61" s="23">
        <f>C61*3</f>
        <v>16800</v>
      </c>
      <c r="E61" s="23" t="s">
        <v>82</v>
      </c>
      <c r="F61" s="39">
        <f t="shared" si="8"/>
        <v>1400</v>
      </c>
      <c r="G61" s="39">
        <f t="shared" si="9"/>
        <v>2800</v>
      </c>
      <c r="H61" s="39">
        <f t="shared" si="10"/>
        <v>4200</v>
      </c>
    </row>
    <row r="62" spans="1:8" ht="29.4" thickBot="1" x14ac:dyDescent="0.35">
      <c r="A62" s="20" t="s">
        <v>97</v>
      </c>
      <c r="B62" s="21" t="s">
        <v>23</v>
      </c>
      <c r="C62" s="23">
        <v>6443.33</v>
      </c>
      <c r="D62" s="23">
        <v>6443.33</v>
      </c>
      <c r="E62" s="23" t="s">
        <v>82</v>
      </c>
      <c r="F62" s="39">
        <f t="shared" si="8"/>
        <v>536.94416666666666</v>
      </c>
      <c r="G62" s="39">
        <f t="shared" si="9"/>
        <v>1073.8883333333333</v>
      </c>
      <c r="H62" s="39">
        <f t="shared" si="10"/>
        <v>1610.8325</v>
      </c>
    </row>
    <row r="63" spans="1:8" x14ac:dyDescent="0.3">
      <c r="A63" s="38" t="s">
        <v>44</v>
      </c>
      <c r="B63" s="37"/>
      <c r="C63" s="37"/>
      <c r="D63" s="37"/>
      <c r="E63" s="37"/>
      <c r="F63" s="88">
        <f>SUM(F49:F62)</f>
        <v>16188.889166666666</v>
      </c>
      <c r="G63" s="88">
        <f>SUM(G49:G62)</f>
        <v>32377.778333333332</v>
      </c>
      <c r="H63" s="88">
        <f>SUM(H49:H62)</f>
        <v>48566.667499999996</v>
      </c>
    </row>
    <row r="64" spans="1:8" ht="15" thickBot="1" x14ac:dyDescent="0.35"/>
    <row r="65" spans="1:8" ht="30" thickTop="1" thickBot="1" x14ac:dyDescent="0.35">
      <c r="A65" s="24" t="s">
        <v>120</v>
      </c>
      <c r="B65" s="143"/>
      <c r="C65" s="144"/>
      <c r="D65" s="144"/>
      <c r="E65" s="145"/>
      <c r="F65" s="89">
        <f>AVERAGE(F22,F45,F63)</f>
        <v>17819.935277777779</v>
      </c>
      <c r="G65" s="89">
        <f>AVERAGE(G22,G45,G63)</f>
        <v>35639.870555555557</v>
      </c>
      <c r="H65" s="89">
        <f>AVERAGE(H22,H45,H63)</f>
        <v>53459.805833333325</v>
      </c>
    </row>
    <row r="66" spans="1:8" ht="15" thickTop="1" x14ac:dyDescent="0.3"/>
  </sheetData>
  <mergeCells count="4">
    <mergeCell ref="B65:E65"/>
    <mergeCell ref="A1:H1"/>
    <mergeCell ref="A24:H24"/>
    <mergeCell ref="A47:H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E3CF5-09E4-4535-9332-DC40E4A4FE36}">
  <dimension ref="A1:H5"/>
  <sheetViews>
    <sheetView workbookViewId="0">
      <selection activeCell="L4" sqref="L4"/>
    </sheetView>
  </sheetViews>
  <sheetFormatPr defaultColWidth="11.44140625" defaultRowHeight="13.8" x14ac:dyDescent="0.25"/>
  <cols>
    <col min="1" max="1" width="38.77734375" style="40" customWidth="1"/>
    <col min="2" max="3" width="17.5546875" style="40" customWidth="1"/>
    <col min="4" max="4" width="16.6640625" style="40" bestFit="1" customWidth="1"/>
    <col min="5" max="5" width="19.109375" style="40" bestFit="1" customWidth="1"/>
    <col min="6" max="8" width="19.5546875" style="40" customWidth="1"/>
    <col min="9" max="16384" width="11.44140625" style="40"/>
  </cols>
  <sheetData>
    <row r="1" spans="1:8" ht="42" customHeight="1" x14ac:dyDescent="0.25">
      <c r="A1" s="12" t="s">
        <v>33</v>
      </c>
      <c r="B1" s="12" t="s">
        <v>5</v>
      </c>
      <c r="C1" s="12" t="s">
        <v>36</v>
      </c>
      <c r="D1" s="12" t="s">
        <v>160</v>
      </c>
      <c r="E1" s="12" t="s">
        <v>7</v>
      </c>
      <c r="F1" s="12" t="s">
        <v>8</v>
      </c>
      <c r="G1" s="12" t="s">
        <v>9</v>
      </c>
      <c r="H1" s="12" t="s">
        <v>187</v>
      </c>
    </row>
    <row r="2" spans="1:8" ht="33" customHeight="1" x14ac:dyDescent="0.25">
      <c r="A2" s="72" t="s">
        <v>141</v>
      </c>
      <c r="B2" s="73">
        <v>50000</v>
      </c>
      <c r="C2" s="73" t="s">
        <v>142</v>
      </c>
      <c r="D2" s="84" t="s">
        <v>161</v>
      </c>
      <c r="E2" s="85">
        <f>(B2)/216</f>
        <v>231.4814814814815</v>
      </c>
      <c r="F2" s="85">
        <f>+(B2*2)/216</f>
        <v>462.96296296296299</v>
      </c>
      <c r="G2" s="85">
        <f>+(B2*2)/216</f>
        <v>462.96296296296299</v>
      </c>
      <c r="H2" s="85">
        <f>+(B2*3)/216</f>
        <v>694.44444444444446</v>
      </c>
    </row>
    <row r="3" spans="1:8" ht="27.6" x14ac:dyDescent="0.25">
      <c r="A3" s="72" t="s">
        <v>143</v>
      </c>
      <c r="B3" s="73">
        <v>50000</v>
      </c>
      <c r="C3" s="73" t="s">
        <v>82</v>
      </c>
      <c r="D3" s="85">
        <f>(B3)/12</f>
        <v>4166.666666666667</v>
      </c>
      <c r="E3" s="85">
        <f>(B3*2)/12</f>
        <v>8333.3333333333339</v>
      </c>
      <c r="F3" s="85">
        <f>+(B3*3)/12</f>
        <v>12500</v>
      </c>
      <c r="G3" s="85">
        <f>+(B3*4)/12</f>
        <v>16666.666666666668</v>
      </c>
      <c r="H3" s="85">
        <f>+(B3*5)/12</f>
        <v>20833.333333333332</v>
      </c>
    </row>
    <row r="4" spans="1:8" ht="168.6" customHeight="1" x14ac:dyDescent="0.25">
      <c r="A4" s="74" t="s">
        <v>232</v>
      </c>
      <c r="B4" s="73">
        <f>180000-(SUM(Salud!D2,Wash!D25,Wash!D24,Wash!D22,Wash!D21,Wash!D18,Wash!D17,Wash!D16,Wash!D15,Wash!D12,Wash!D10,Wash!D9,Alojamiento!C8/12,'Educación '!C3))</f>
        <v>69321.666666666672</v>
      </c>
      <c r="C4" s="73" t="s">
        <v>43</v>
      </c>
      <c r="D4" s="85">
        <f>(B4)/12</f>
        <v>5776.8055555555557</v>
      </c>
      <c r="E4" s="85">
        <f>(B4*2)/12</f>
        <v>11553.611111111111</v>
      </c>
      <c r="F4" s="85">
        <f>+(B4*2)/12</f>
        <v>11553.611111111111</v>
      </c>
      <c r="G4" s="85">
        <f>+(B4*2)/12</f>
        <v>11553.611111111111</v>
      </c>
      <c r="H4" s="85">
        <f>+(B4*2)/12</f>
        <v>11553.611111111111</v>
      </c>
    </row>
    <row r="5" spans="1:8" x14ac:dyDescent="0.25">
      <c r="A5" s="19" t="s">
        <v>44</v>
      </c>
      <c r="B5" s="48"/>
      <c r="C5" s="48"/>
      <c r="D5" s="86">
        <f>+SUM(D2:D4)</f>
        <v>9943.4722222222226</v>
      </c>
      <c r="E5" s="86">
        <f>+SUM(E2:E4)</f>
        <v>20118.425925925927</v>
      </c>
      <c r="F5" s="86">
        <f>+SUM(F2:F4)</f>
        <v>24516.574074074073</v>
      </c>
      <c r="G5" s="86">
        <f>+SUM(G2:G4)</f>
        <v>28683.240740740745</v>
      </c>
      <c r="H5" s="86">
        <f>+SUM(H2:H4)</f>
        <v>33081.388888888891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A80A2-5AA7-45FF-9D5C-F5979486E90E}">
  <dimension ref="A1:J11"/>
  <sheetViews>
    <sheetView topLeftCell="B1" zoomScale="110" zoomScaleNormal="110" workbookViewId="0">
      <selection activeCell="B1" sqref="B1:I11"/>
    </sheetView>
  </sheetViews>
  <sheetFormatPr defaultColWidth="11.44140625" defaultRowHeight="13.8" x14ac:dyDescent="0.25"/>
  <cols>
    <col min="1" max="1" width="22.21875" style="40" customWidth="1"/>
    <col min="2" max="2" width="25.77734375" style="40" customWidth="1"/>
    <col min="3" max="3" width="23.44140625" style="40" customWidth="1"/>
    <col min="4" max="5" width="14.77734375" style="40" customWidth="1"/>
    <col min="6" max="7" width="17.88671875" style="40" bestFit="1" customWidth="1"/>
    <col min="8" max="10" width="20.5546875" style="40" customWidth="1"/>
    <col min="11" max="16384" width="11.44140625" style="40"/>
  </cols>
  <sheetData>
    <row r="1" spans="1:10" ht="42" customHeight="1" x14ac:dyDescent="0.25">
      <c r="A1" s="12" t="s">
        <v>34</v>
      </c>
      <c r="B1" s="12" t="s">
        <v>33</v>
      </c>
      <c r="C1" s="12" t="s">
        <v>45</v>
      </c>
      <c r="D1" s="12" t="s">
        <v>5</v>
      </c>
      <c r="E1" s="12" t="s">
        <v>36</v>
      </c>
      <c r="F1" s="12" t="s">
        <v>121</v>
      </c>
      <c r="G1" s="12" t="s">
        <v>122</v>
      </c>
      <c r="H1" s="12" t="s">
        <v>123</v>
      </c>
      <c r="I1" s="12" t="s">
        <v>124</v>
      </c>
      <c r="J1" s="12" t="s">
        <v>192</v>
      </c>
    </row>
    <row r="2" spans="1:10" ht="27.6" x14ac:dyDescent="0.25">
      <c r="A2" s="10" t="s">
        <v>125</v>
      </c>
      <c r="B2" s="10" t="s">
        <v>229</v>
      </c>
      <c r="C2" s="93" t="s">
        <v>126</v>
      </c>
      <c r="D2" s="94">
        <v>15393</v>
      </c>
      <c r="E2" s="94" t="s">
        <v>127</v>
      </c>
      <c r="F2" s="51">
        <f>+D2</f>
        <v>15393</v>
      </c>
      <c r="G2" s="51">
        <f>+D2</f>
        <v>15393</v>
      </c>
      <c r="H2" s="51">
        <f>+D2</f>
        <v>15393</v>
      </c>
      <c r="I2" s="51">
        <f>+D2</f>
        <v>15393</v>
      </c>
      <c r="J2" s="51">
        <f>+D2</f>
        <v>15393</v>
      </c>
    </row>
    <row r="3" spans="1:10" ht="55.2" x14ac:dyDescent="0.25">
      <c r="A3" s="10"/>
      <c r="B3" s="101" t="s">
        <v>230</v>
      </c>
      <c r="C3" s="93" t="s">
        <v>129</v>
      </c>
      <c r="D3" s="94">
        <v>300000</v>
      </c>
      <c r="E3" s="94" t="s">
        <v>82</v>
      </c>
      <c r="F3" s="51">
        <f>$D$3/12</f>
        <v>25000</v>
      </c>
      <c r="G3" s="51">
        <f>$D$3/12</f>
        <v>25000</v>
      </c>
      <c r="H3" s="51">
        <f>$D$3/12</f>
        <v>25000</v>
      </c>
      <c r="I3" s="51">
        <f>$D$3/12</f>
        <v>25000</v>
      </c>
      <c r="J3" s="51">
        <f>$D$3/12</f>
        <v>25000</v>
      </c>
    </row>
    <row r="4" spans="1:10" ht="27.6" x14ac:dyDescent="0.25">
      <c r="A4" s="10" t="s">
        <v>128</v>
      </c>
      <c r="B4" s="10" t="s">
        <v>128</v>
      </c>
      <c r="C4" s="93" t="s">
        <v>129</v>
      </c>
      <c r="D4" s="94">
        <v>6798</v>
      </c>
      <c r="E4" s="94" t="s">
        <v>130</v>
      </c>
      <c r="F4" s="51">
        <f>+$D$4/6</f>
        <v>1133</v>
      </c>
      <c r="G4" s="51">
        <f t="shared" ref="G4:J4" si="0">+$D$4/6</f>
        <v>1133</v>
      </c>
      <c r="H4" s="51">
        <f t="shared" si="0"/>
        <v>1133</v>
      </c>
      <c r="I4" s="51">
        <f t="shared" si="0"/>
        <v>1133</v>
      </c>
      <c r="J4" s="51">
        <f t="shared" si="0"/>
        <v>1133</v>
      </c>
    </row>
    <row r="5" spans="1:10" ht="27.6" x14ac:dyDescent="0.25">
      <c r="A5" s="10" t="s">
        <v>131</v>
      </c>
      <c r="B5" s="10" t="s">
        <v>131</v>
      </c>
      <c r="C5" s="93" t="s">
        <v>132</v>
      </c>
      <c r="D5" s="94">
        <v>23721</v>
      </c>
      <c r="E5" s="94" t="s">
        <v>130</v>
      </c>
      <c r="F5" s="51">
        <f>+$D$5/6</f>
        <v>3953.5</v>
      </c>
      <c r="G5" s="51">
        <f t="shared" ref="G5:J5" si="1">+$D$5/6</f>
        <v>3953.5</v>
      </c>
      <c r="H5" s="51">
        <f t="shared" si="1"/>
        <v>3953.5</v>
      </c>
      <c r="I5" s="51">
        <f t="shared" si="1"/>
        <v>3953.5</v>
      </c>
      <c r="J5" s="51">
        <f t="shared" si="1"/>
        <v>3953.5</v>
      </c>
    </row>
    <row r="6" spans="1:10" ht="27.6" x14ac:dyDescent="0.25">
      <c r="A6" s="10" t="s">
        <v>133</v>
      </c>
      <c r="B6" s="10" t="s">
        <v>133</v>
      </c>
      <c r="C6" s="93" t="s">
        <v>134</v>
      </c>
      <c r="D6" s="94">
        <v>12817</v>
      </c>
      <c r="E6" s="94" t="s">
        <v>135</v>
      </c>
      <c r="F6" s="51">
        <f t="shared" ref="F6:F10" si="2">+D6/6</f>
        <v>2136.1666666666665</v>
      </c>
      <c r="G6" s="51">
        <f>+(D6/6)</f>
        <v>2136.1666666666665</v>
      </c>
      <c r="H6" s="51">
        <f>+(D6/6)*2</f>
        <v>4272.333333333333</v>
      </c>
      <c r="I6" s="51">
        <f>+(D6/6)*2</f>
        <v>4272.333333333333</v>
      </c>
      <c r="J6" s="51">
        <f>+(D6/6)*2</f>
        <v>4272.333333333333</v>
      </c>
    </row>
    <row r="7" spans="1:10" x14ac:dyDescent="0.25">
      <c r="A7" s="10" t="s">
        <v>136</v>
      </c>
      <c r="B7" s="10" t="s">
        <v>136</v>
      </c>
      <c r="C7" s="93" t="s">
        <v>134</v>
      </c>
      <c r="D7" s="94">
        <v>12225</v>
      </c>
      <c r="E7" s="94" t="s">
        <v>130</v>
      </c>
      <c r="F7" s="51" t="s">
        <v>159</v>
      </c>
      <c r="G7" s="51">
        <f>+(D7/6)</f>
        <v>2037.5</v>
      </c>
      <c r="H7" s="51">
        <f>+(D7/6)</f>
        <v>2037.5</v>
      </c>
      <c r="I7" s="51">
        <f>+(D7/6)*2</f>
        <v>4075</v>
      </c>
      <c r="J7" s="51">
        <f>+(D7/6)*2</f>
        <v>4075</v>
      </c>
    </row>
    <row r="8" spans="1:10" x14ac:dyDescent="0.25">
      <c r="A8" s="95"/>
      <c r="B8" s="45" t="s">
        <v>137</v>
      </c>
      <c r="C8" s="96" t="s">
        <v>138</v>
      </c>
      <c r="D8" s="94">
        <v>150000</v>
      </c>
      <c r="E8" s="94" t="s">
        <v>130</v>
      </c>
      <c r="F8" s="51">
        <f t="shared" si="2"/>
        <v>25000</v>
      </c>
      <c r="G8" s="51">
        <f>+(D8/6)*2</f>
        <v>50000</v>
      </c>
      <c r="H8" s="51">
        <f>+(D8/6)*3</f>
        <v>75000</v>
      </c>
      <c r="I8" s="51">
        <f>+(D8/6)*4</f>
        <v>100000</v>
      </c>
      <c r="J8" s="51">
        <f>+(D8/6)*5</f>
        <v>125000</v>
      </c>
    </row>
    <row r="9" spans="1:10" x14ac:dyDescent="0.25">
      <c r="A9" s="95"/>
      <c r="B9" s="45" t="s">
        <v>139</v>
      </c>
      <c r="C9" s="96" t="s">
        <v>138</v>
      </c>
      <c r="D9" s="94">
        <v>60000</v>
      </c>
      <c r="E9" s="94" t="s">
        <v>130</v>
      </c>
      <c r="F9" s="51">
        <f t="shared" si="2"/>
        <v>10000</v>
      </c>
      <c r="G9" s="51">
        <f t="shared" ref="G9:G10" si="3">+(D9/6)*2</f>
        <v>20000</v>
      </c>
      <c r="H9" s="51">
        <f t="shared" ref="H9" si="4">+(D9/6)*3</f>
        <v>30000</v>
      </c>
      <c r="I9" s="51">
        <f t="shared" ref="I9" si="5">+(D9/6)*4</f>
        <v>40000</v>
      </c>
      <c r="J9" s="51">
        <f t="shared" ref="J9" si="6">+(D9/6)*5</f>
        <v>50000</v>
      </c>
    </row>
    <row r="10" spans="1:10" ht="27.6" x14ac:dyDescent="0.25">
      <c r="A10" s="95"/>
      <c r="B10" s="45" t="s">
        <v>140</v>
      </c>
      <c r="C10" s="96" t="s">
        <v>138</v>
      </c>
      <c r="D10" s="94">
        <v>210000</v>
      </c>
      <c r="E10" s="94" t="s">
        <v>130</v>
      </c>
      <c r="F10" s="51">
        <f t="shared" si="2"/>
        <v>35000</v>
      </c>
      <c r="G10" s="51">
        <f t="shared" si="3"/>
        <v>70000</v>
      </c>
      <c r="H10" s="51">
        <f>+(D10/6)*2</f>
        <v>70000</v>
      </c>
      <c r="I10" s="51">
        <f>+(D10/6)*2</f>
        <v>70000</v>
      </c>
      <c r="J10" s="51">
        <f>+(D10/6)*2</f>
        <v>70000</v>
      </c>
    </row>
    <row r="11" spans="1:10" x14ac:dyDescent="0.25">
      <c r="A11" s="19" t="s">
        <v>44</v>
      </c>
      <c r="B11" s="47"/>
      <c r="C11" s="48"/>
      <c r="D11" s="48"/>
      <c r="E11" s="48"/>
      <c r="F11" s="97">
        <f>SUM(F2:F10)</f>
        <v>117615.66666666666</v>
      </c>
      <c r="G11" s="97">
        <f>SUM(G2:G10)</f>
        <v>189653.16666666666</v>
      </c>
      <c r="H11" s="97">
        <f>SUM(H2:H10)</f>
        <v>226789.33333333334</v>
      </c>
      <c r="I11" s="97">
        <f>SUM(I2:I10)</f>
        <v>263826.83333333337</v>
      </c>
      <c r="J11" s="97">
        <f>SUM(J2:J10)</f>
        <v>298826.83333333337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855D-5FE6-4FFC-8CE6-6EA9542CB4A6}">
  <dimension ref="A1:F3"/>
  <sheetViews>
    <sheetView workbookViewId="0">
      <selection activeCell="C1" sqref="C1"/>
    </sheetView>
  </sheetViews>
  <sheetFormatPr defaultColWidth="11.44140625" defaultRowHeight="14.4" x14ac:dyDescent="0.3"/>
  <cols>
    <col min="1" max="1" width="30.44140625" style="15" bestFit="1" customWidth="1"/>
    <col min="2" max="2" width="18.21875" customWidth="1"/>
    <col min="3" max="3" width="18.5546875" customWidth="1"/>
    <col min="4" max="4" width="12.77734375" bestFit="1" customWidth="1"/>
  </cols>
  <sheetData>
    <row r="1" spans="1:6" ht="37.5" customHeight="1" x14ac:dyDescent="0.3">
      <c r="A1" s="12" t="s">
        <v>33</v>
      </c>
      <c r="B1" s="12" t="s">
        <v>46</v>
      </c>
      <c r="C1" s="12" t="s">
        <v>47</v>
      </c>
    </row>
    <row r="2" spans="1:6" x14ac:dyDescent="0.3">
      <c r="A2" s="98" t="s">
        <v>144</v>
      </c>
      <c r="B2" s="99">
        <f>2400*24</f>
        <v>57600</v>
      </c>
      <c r="C2" s="99">
        <f>B2*2</f>
        <v>115200</v>
      </c>
      <c r="D2" s="33"/>
      <c r="F2" s="34"/>
    </row>
    <row r="3" spans="1:6" x14ac:dyDescent="0.3">
      <c r="A3" s="100" t="s">
        <v>44</v>
      </c>
      <c r="B3" s="86">
        <f>+SUM(B2:B2)</f>
        <v>57600</v>
      </c>
      <c r="C3" s="86">
        <f>+SUM(C2:C2)</f>
        <v>115200</v>
      </c>
      <c r="D3" s="3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98F7F-B04C-4DD4-B343-DCD7B227D516}">
  <dimension ref="A1:H10"/>
  <sheetViews>
    <sheetView zoomScale="130" zoomScaleNormal="130" workbookViewId="0">
      <selection activeCell="D13" sqref="D13"/>
    </sheetView>
  </sheetViews>
  <sheetFormatPr defaultColWidth="11.44140625" defaultRowHeight="14.4" x14ac:dyDescent="0.3"/>
  <cols>
    <col min="1" max="1" width="29.5546875" bestFit="1" customWidth="1"/>
    <col min="2" max="2" width="22.77734375" bestFit="1" customWidth="1"/>
    <col min="3" max="3" width="23.77734375" bestFit="1" customWidth="1"/>
    <col min="4" max="4" width="24" bestFit="1" customWidth="1"/>
    <col min="5" max="5" width="29.5546875" customWidth="1"/>
    <col min="6" max="6" width="29.5546875" hidden="1" customWidth="1"/>
    <col min="8" max="8" width="14.77734375" bestFit="1" customWidth="1"/>
  </cols>
  <sheetData>
    <row r="1" spans="1:8" ht="15" thickBot="1" x14ac:dyDescent="0.35">
      <c r="A1" s="150" t="s">
        <v>145</v>
      </c>
      <c r="B1" s="151"/>
      <c r="C1" s="151"/>
      <c r="D1" s="151"/>
      <c r="E1" s="151"/>
      <c r="F1" s="151"/>
    </row>
    <row r="2" spans="1:8" ht="15" thickBot="1" x14ac:dyDescent="0.35">
      <c r="A2" s="52" t="s">
        <v>146</v>
      </c>
      <c r="B2" s="52" t="s">
        <v>147</v>
      </c>
      <c r="C2" s="52" t="s">
        <v>148</v>
      </c>
      <c r="D2" s="52" t="s">
        <v>149</v>
      </c>
      <c r="E2" s="52" t="s">
        <v>150</v>
      </c>
      <c r="F2" s="52" t="s">
        <v>193</v>
      </c>
    </row>
    <row r="3" spans="1:8" ht="15" thickBot="1" x14ac:dyDescent="0.35">
      <c r="A3" s="53" t="s">
        <v>151</v>
      </c>
      <c r="B3" s="54">
        <f>+SA!G20</f>
        <v>108680.5</v>
      </c>
      <c r="C3" s="54">
        <f>+SA!H20</f>
        <v>217361</v>
      </c>
      <c r="D3" s="54">
        <f>+SA!I20</f>
        <v>326041.58151039534</v>
      </c>
      <c r="E3" s="54">
        <f>+SA!J20</f>
        <v>434722</v>
      </c>
      <c r="F3" s="54">
        <f>+SA!K20</f>
        <v>543402.5</v>
      </c>
    </row>
    <row r="4" spans="1:8" ht="15" thickBot="1" x14ac:dyDescent="0.35">
      <c r="A4" s="53" t="s">
        <v>152</v>
      </c>
      <c r="B4" s="54">
        <f>+Alojamiento!E10</f>
        <v>521979.16666666669</v>
      </c>
      <c r="C4" s="54">
        <f>+Alojamiento!F10</f>
        <v>554479.16666666663</v>
      </c>
      <c r="D4" s="54">
        <f>+Alojamiento!G10</f>
        <v>575729.16666666663</v>
      </c>
      <c r="E4" s="54">
        <f>+Alojamiento!H10</f>
        <v>602979.16666666663</v>
      </c>
      <c r="F4" s="54">
        <f>+Alojamiento!I10</f>
        <v>625479.16666666663</v>
      </c>
    </row>
    <row r="5" spans="1:8" ht="15" thickBot="1" x14ac:dyDescent="0.35">
      <c r="A5" s="53" t="s">
        <v>153</v>
      </c>
      <c r="B5" s="54">
        <f>+Wash!E36</f>
        <v>121313.83333333333</v>
      </c>
      <c r="C5" s="54">
        <f>+Wash!F36</f>
        <v>223305.66666666663</v>
      </c>
      <c r="D5" s="54">
        <f>+Wash!G36</f>
        <v>288839.5</v>
      </c>
      <c r="E5" s="54">
        <f>+Wash!H36</f>
        <v>363528.66666666669</v>
      </c>
      <c r="F5" s="54">
        <f>+Wash!I36</f>
        <v>424943.16666666669</v>
      </c>
    </row>
    <row r="6" spans="1:8" ht="15" thickBot="1" x14ac:dyDescent="0.35">
      <c r="A6" s="53" t="s">
        <v>154</v>
      </c>
      <c r="B6" s="54" t="s">
        <v>161</v>
      </c>
      <c r="C6" s="54">
        <f>+'[1]Educación '!F65</f>
        <v>17819.935277777779</v>
      </c>
      <c r="D6" s="54">
        <f>+'[1]Educación '!G65</f>
        <v>35639.870555555557</v>
      </c>
      <c r="E6" s="54">
        <f>+'[1]Educación '!H65</f>
        <v>53459.805833333325</v>
      </c>
      <c r="F6" s="54">
        <f>+'[1]Educación '!H65</f>
        <v>53459.805833333325</v>
      </c>
    </row>
    <row r="7" spans="1:8" ht="15" thickBot="1" x14ac:dyDescent="0.35">
      <c r="A7" s="53" t="s">
        <v>155</v>
      </c>
      <c r="B7" s="54">
        <f>+Salud!F11</f>
        <v>117615.66666666666</v>
      </c>
      <c r="C7" s="54">
        <f>+Salud!G11</f>
        <v>189653.16666666666</v>
      </c>
      <c r="D7" s="54">
        <f>+Salud!H11</f>
        <v>226789.33333333334</v>
      </c>
      <c r="E7" s="54">
        <f>+Salud!I11</f>
        <v>263826.83333333337</v>
      </c>
      <c r="F7" s="54">
        <f>+Salud!J11</f>
        <v>298826.83333333337</v>
      </c>
    </row>
    <row r="8" spans="1:8" ht="15" thickBot="1" x14ac:dyDescent="0.35">
      <c r="A8" s="53" t="s">
        <v>156</v>
      </c>
      <c r="B8" s="54">
        <f>+Protección!D5</f>
        <v>9943.4722222222226</v>
      </c>
      <c r="C8" s="54">
        <f>+Protección!E5</f>
        <v>20118.425925925927</v>
      </c>
      <c r="D8" s="54">
        <f>+Protección!F5</f>
        <v>24516.574074074073</v>
      </c>
      <c r="E8" s="54">
        <f>+Protección!G5</f>
        <v>28683.240740740745</v>
      </c>
      <c r="F8" s="54">
        <f>+Protección!H5</f>
        <v>33081.388888888891</v>
      </c>
    </row>
    <row r="9" spans="1:8" ht="15" thickBot="1" x14ac:dyDescent="0.35">
      <c r="A9" s="53" t="s">
        <v>157</v>
      </c>
      <c r="B9" s="54">
        <f>+Integración!B3</f>
        <v>57600</v>
      </c>
      <c r="C9" s="54">
        <f>+Integración!B3</f>
        <v>57600</v>
      </c>
      <c r="D9" s="54">
        <f>+Integración!C3</f>
        <v>115200</v>
      </c>
      <c r="E9" s="54">
        <f>+Integración!C3</f>
        <v>115200</v>
      </c>
      <c r="F9" s="54">
        <f>+Integración!C3</f>
        <v>115200</v>
      </c>
    </row>
    <row r="10" spans="1:8" ht="15" thickBot="1" x14ac:dyDescent="0.35">
      <c r="A10" s="55" t="s">
        <v>158</v>
      </c>
      <c r="B10" s="56">
        <f>SUM(B3:B9)</f>
        <v>937132.63888888899</v>
      </c>
      <c r="C10" s="56">
        <f>SUM(C3:C9)</f>
        <v>1280337.3612037036</v>
      </c>
      <c r="D10" s="56">
        <f>SUM(D3:D9)</f>
        <v>1592756.0261400249</v>
      </c>
      <c r="E10" s="57">
        <f>+SUM(E3:E9)</f>
        <v>1862399.7132407408</v>
      </c>
      <c r="F10" s="57">
        <f>+SUM(F3:F9)</f>
        <v>2094392.8613888891</v>
      </c>
      <c r="G10" s="32"/>
      <c r="H10" s="33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SA</vt:lpstr>
      <vt:lpstr>Nutrición </vt:lpstr>
      <vt:lpstr>Alojamiento</vt:lpstr>
      <vt:lpstr>Wash</vt:lpstr>
      <vt:lpstr>Educación </vt:lpstr>
      <vt:lpstr>Protección</vt:lpstr>
      <vt:lpstr>Salud</vt:lpstr>
      <vt:lpstr>Integración</vt:lpstr>
      <vt:lpstr>Calculo canasta</vt:lpstr>
      <vt:lpstr>Monto</vt:lpstr>
      <vt:lpstr>Otros cálculos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Martin</dc:creator>
  <cp:keywords/>
  <dc:description/>
  <cp:lastModifiedBy>David Contreras</cp:lastModifiedBy>
  <cp:revision/>
  <dcterms:created xsi:type="dcterms:W3CDTF">2022-04-07T21:59:43Z</dcterms:created>
  <dcterms:modified xsi:type="dcterms:W3CDTF">2022-06-15T22:29:49Z</dcterms:modified>
  <cp:category/>
  <cp:contentStatus/>
</cp:coreProperties>
</file>